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drawings/drawing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wrd2013.sharepoint.com/sites/T50522-Stormwater/Shared Documents/SW_GI/References/DRC/"/>
    </mc:Choice>
  </mc:AlternateContent>
  <xr:revisionPtr revIDLastSave="2280" documentId="8_{DCF3EC2C-3C20-4B1C-A147-EE7B19CDB19D}" xr6:coauthVersionLast="47" xr6:coauthVersionMax="47" xr10:uidLastSave="{2F18778C-90DF-49CD-825A-46DCD932A9D8}"/>
  <bookViews>
    <workbookView xWindow="28920" yWindow="0" windowWidth="24435" windowHeight="15585" tabRatio="810" xr2:uid="{00000000-000D-0000-FFFF-FFFF00000000}"/>
  </bookViews>
  <sheets>
    <sheet name="30% DRC" sheetId="43" r:id="rId1"/>
    <sheet name="60% DRC" sheetId="44" r:id="rId2"/>
    <sheet name="98% DRC" sheetId="45" r:id="rId3"/>
    <sheet name="(if needed) 100% DRC" sheetId="46" r:id="rId4"/>
    <sheet name="Final Design DRC" sheetId="40" r:id="rId5"/>
    <sheet name="Final Constructed DRC" sheetId="41" r:id="rId6"/>
    <sheet name="CN &amp; Runoff Volume" sheetId="35" r:id="rId7"/>
    <sheet name="Notes" sheetId="25" r:id="rId8"/>
    <sheet name="Example Design DRC" sheetId="31" r:id="rId9"/>
    <sheet name="Example Final Constructed DRC" sheetId="33" r:id="rId10"/>
    <sheet name="Example CN &amp; Runoff Volume" sheetId="42" r:id="rId11"/>
  </sheets>
  <definedNames>
    <definedName name="_xlnm.Print_Area" localSheetId="3">'(if needed) 100% DRC'!$A$1:$L$134</definedName>
    <definedName name="_xlnm.Print_Area" localSheetId="0">'30% DRC'!$A$1:$L$134</definedName>
    <definedName name="_xlnm.Print_Area" localSheetId="1">'60% DRC'!$A$1:$L$134</definedName>
    <definedName name="_xlnm.Print_Area" localSheetId="2">'98% DRC'!$A$1:$L$134</definedName>
    <definedName name="_xlnm.Print_Area" localSheetId="6">'CN &amp; Runoff Volume'!$A$1:$BB$26</definedName>
    <definedName name="_xlnm.Print_Area" localSheetId="10">'Example CN &amp; Runoff Volume'!$A$1:$BB$26</definedName>
    <definedName name="_xlnm.Print_Area" localSheetId="8">'Example Design DRC'!$A$1:$L$134</definedName>
    <definedName name="_xlnm.Print_Area" localSheetId="9">'Example Final Constructed DRC'!$A$1:$L$135</definedName>
    <definedName name="_xlnm.Print_Area" localSheetId="5">'Final Constructed DRC'!$A$1:$L$135</definedName>
    <definedName name="_xlnm.Print_Area" localSheetId="4">'Final Design DRC'!$A$1:$L$134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1" i="46" l="1"/>
  <c r="K133" i="46" s="1"/>
  <c r="K134" i="46" s="1"/>
  <c r="K127" i="46"/>
  <c r="J120" i="46"/>
  <c r="F120" i="46" a="1"/>
  <c r="F120" i="46" s="1"/>
  <c r="J119" i="46"/>
  <c r="F119" i="46" a="1"/>
  <c r="F119" i="46" s="1"/>
  <c r="J118" i="46"/>
  <c r="F118" i="46" a="1"/>
  <c r="F118" i="46" s="1"/>
  <c r="J117" i="46"/>
  <c r="F117" i="46" a="1"/>
  <c r="F117" i="46" s="1"/>
  <c r="J116" i="46"/>
  <c r="F116" i="46" a="1"/>
  <c r="F116" i="46" s="1"/>
  <c r="K108" i="46"/>
  <c r="K110" i="46" s="1"/>
  <c r="K111" i="46" s="1"/>
  <c r="K104" i="46"/>
  <c r="J97" i="46"/>
  <c r="F97" i="46" a="1"/>
  <c r="F97" i="46" s="1"/>
  <c r="J96" i="46"/>
  <c r="F96" i="46" a="1"/>
  <c r="F96" i="46" s="1"/>
  <c r="J95" i="46"/>
  <c r="F95" i="46" a="1"/>
  <c r="F95" i="46" s="1"/>
  <c r="J94" i="46"/>
  <c r="F94" i="46" a="1"/>
  <c r="F94" i="46" s="1"/>
  <c r="J93" i="46"/>
  <c r="K93" i="46" s="1"/>
  <c r="F93" i="46"/>
  <c r="F93" i="46" a="1"/>
  <c r="K85" i="46"/>
  <c r="K87" i="46" s="1"/>
  <c r="K88" i="46" s="1"/>
  <c r="K81" i="46"/>
  <c r="J74" i="46"/>
  <c r="F74" i="46" a="1"/>
  <c r="F74" i="46" s="1"/>
  <c r="J73" i="46"/>
  <c r="F73" i="46" a="1"/>
  <c r="F73" i="46" s="1"/>
  <c r="J72" i="46"/>
  <c r="F72" i="46" a="1"/>
  <c r="F72" i="46" s="1"/>
  <c r="J71" i="46"/>
  <c r="F71" i="46" a="1"/>
  <c r="F71" i="46" s="1"/>
  <c r="J70" i="46"/>
  <c r="F70" i="46" a="1"/>
  <c r="F70" i="46" s="1"/>
  <c r="K70" i="46" s="1"/>
  <c r="K62" i="46"/>
  <c r="K64" i="46" s="1"/>
  <c r="K65" i="46" s="1"/>
  <c r="K58" i="46"/>
  <c r="J51" i="46"/>
  <c r="F51" i="46" a="1"/>
  <c r="F51" i="46" s="1"/>
  <c r="J50" i="46"/>
  <c r="F50" i="46" a="1"/>
  <c r="F50" i="46" s="1"/>
  <c r="J49" i="46"/>
  <c r="F49" i="46" a="1"/>
  <c r="F49" i="46" s="1"/>
  <c r="J48" i="46"/>
  <c r="K48" i="46" s="1"/>
  <c r="F48" i="46"/>
  <c r="F48" i="46" a="1"/>
  <c r="J47" i="46"/>
  <c r="F47" i="46" a="1"/>
  <c r="F47" i="46" s="1"/>
  <c r="K39" i="46"/>
  <c r="K41" i="46" s="1"/>
  <c r="K42" i="46" s="1"/>
  <c r="K35" i="46"/>
  <c r="J28" i="46"/>
  <c r="F28" i="46" a="1"/>
  <c r="F28" i="46" s="1"/>
  <c r="J27" i="46"/>
  <c r="F27" i="46" a="1"/>
  <c r="F27" i="46" s="1"/>
  <c r="J26" i="46"/>
  <c r="F26" i="46" a="1"/>
  <c r="F26" i="46" s="1"/>
  <c r="J25" i="46"/>
  <c r="F25" i="46" a="1"/>
  <c r="F25" i="46" s="1"/>
  <c r="K25" i="46" s="1"/>
  <c r="J24" i="46"/>
  <c r="F24" i="46" a="1"/>
  <c r="F24" i="46" s="1"/>
  <c r="E9" i="46"/>
  <c r="K131" i="45"/>
  <c r="K133" i="45" s="1"/>
  <c r="K134" i="45" s="1"/>
  <c r="K127" i="45"/>
  <c r="J120" i="45"/>
  <c r="F120" i="45" a="1"/>
  <c r="F120" i="45" s="1"/>
  <c r="J119" i="45"/>
  <c r="F119" i="45" a="1"/>
  <c r="F119" i="45" s="1"/>
  <c r="J118" i="45"/>
  <c r="F118" i="45" a="1"/>
  <c r="F118" i="45" s="1"/>
  <c r="J117" i="45"/>
  <c r="F117" i="45" a="1"/>
  <c r="F117" i="45" s="1"/>
  <c r="J116" i="45"/>
  <c r="F116" i="45" a="1"/>
  <c r="F116" i="45" s="1"/>
  <c r="K108" i="45"/>
  <c r="K110" i="45" s="1"/>
  <c r="K111" i="45" s="1"/>
  <c r="K104" i="45"/>
  <c r="J97" i="45"/>
  <c r="F97" i="45" a="1"/>
  <c r="F97" i="45" s="1"/>
  <c r="J96" i="45"/>
  <c r="F96" i="45" a="1"/>
  <c r="F96" i="45" s="1"/>
  <c r="J95" i="45"/>
  <c r="F95" i="45" a="1"/>
  <c r="F95" i="45" s="1"/>
  <c r="J94" i="45"/>
  <c r="F94" i="45" a="1"/>
  <c r="F94" i="45" s="1"/>
  <c r="J93" i="45"/>
  <c r="K93" i="45" s="1"/>
  <c r="F93" i="45"/>
  <c r="F93" i="45" a="1"/>
  <c r="K85" i="45"/>
  <c r="K87" i="45" s="1"/>
  <c r="K88" i="45" s="1"/>
  <c r="K81" i="45"/>
  <c r="J74" i="45"/>
  <c r="F74" i="45" a="1"/>
  <c r="F74" i="45" s="1"/>
  <c r="J73" i="45"/>
  <c r="F73" i="45" a="1"/>
  <c r="F73" i="45" s="1"/>
  <c r="J72" i="45"/>
  <c r="F72" i="45" a="1"/>
  <c r="F72" i="45" s="1"/>
  <c r="K72" i="45" s="1"/>
  <c r="J71" i="45"/>
  <c r="K71" i="45" s="1"/>
  <c r="F71" i="45" a="1"/>
  <c r="F71" i="45" s="1"/>
  <c r="J70" i="45"/>
  <c r="F70" i="45" a="1"/>
  <c r="F70" i="45" s="1"/>
  <c r="K70" i="45" s="1"/>
  <c r="K62" i="45"/>
  <c r="K64" i="45" s="1"/>
  <c r="K65" i="45" s="1"/>
  <c r="K58" i="45"/>
  <c r="J51" i="45"/>
  <c r="F51" i="45" a="1"/>
  <c r="F51" i="45" s="1"/>
  <c r="J50" i="45"/>
  <c r="F50" i="45" a="1"/>
  <c r="F50" i="45" s="1"/>
  <c r="J49" i="45"/>
  <c r="F49" i="45" a="1"/>
  <c r="F49" i="45" s="1"/>
  <c r="J48" i="45"/>
  <c r="K48" i="45" s="1"/>
  <c r="F48" i="45"/>
  <c r="F48" i="45" a="1"/>
  <c r="J47" i="45"/>
  <c r="F47" i="45" a="1"/>
  <c r="F47" i="45" s="1"/>
  <c r="K41" i="45"/>
  <c r="K42" i="45" s="1"/>
  <c r="K39" i="45"/>
  <c r="K35" i="45"/>
  <c r="J28" i="45"/>
  <c r="F28" i="45" a="1"/>
  <c r="F28" i="45" s="1"/>
  <c r="J27" i="45"/>
  <c r="F27" i="45" a="1"/>
  <c r="F27" i="45" s="1"/>
  <c r="J26" i="45"/>
  <c r="K26" i="45" s="1"/>
  <c r="F26" i="45" a="1"/>
  <c r="F26" i="45" s="1"/>
  <c r="J25" i="45"/>
  <c r="F25" i="45" a="1"/>
  <c r="F25" i="45" s="1"/>
  <c r="K25" i="45" s="1"/>
  <c r="J24" i="45"/>
  <c r="F24" i="45" a="1"/>
  <c r="F24" i="45" s="1"/>
  <c r="E9" i="45"/>
  <c r="K131" i="44"/>
  <c r="K133" i="44" s="1"/>
  <c r="K134" i="44" s="1"/>
  <c r="K127" i="44"/>
  <c r="J120" i="44"/>
  <c r="K120" i="44" s="1"/>
  <c r="F120" i="44" a="1"/>
  <c r="F120" i="44" s="1"/>
  <c r="J119" i="44"/>
  <c r="F119" i="44" a="1"/>
  <c r="F119" i="44" s="1"/>
  <c r="K119" i="44" s="1"/>
  <c r="J118" i="44"/>
  <c r="F118" i="44" a="1"/>
  <c r="F118" i="44" s="1"/>
  <c r="J117" i="44"/>
  <c r="F117" i="44" a="1"/>
  <c r="F117" i="44" s="1"/>
  <c r="J116" i="44"/>
  <c r="K116" i="44" s="1"/>
  <c r="F116" i="44"/>
  <c r="F116" i="44" a="1"/>
  <c r="K110" i="44"/>
  <c r="K111" i="44" s="1"/>
  <c r="K108" i="44"/>
  <c r="K104" i="44"/>
  <c r="J97" i="44"/>
  <c r="K97" i="44" s="1"/>
  <c r="F97" i="44"/>
  <c r="F97" i="44" a="1"/>
  <c r="J96" i="44"/>
  <c r="F96" i="44" a="1"/>
  <c r="F96" i="44" s="1"/>
  <c r="J95" i="44"/>
  <c r="F95" i="44" a="1"/>
  <c r="F95" i="44" s="1"/>
  <c r="J94" i="44"/>
  <c r="F94" i="44" a="1"/>
  <c r="F94" i="44" s="1"/>
  <c r="J93" i="44"/>
  <c r="F93" i="44" a="1"/>
  <c r="F93" i="44" s="1"/>
  <c r="K93" i="44" s="1"/>
  <c r="K85" i="44"/>
  <c r="K87" i="44" s="1"/>
  <c r="K88" i="44" s="1"/>
  <c r="K81" i="44"/>
  <c r="J74" i="44"/>
  <c r="F74" i="44" a="1"/>
  <c r="F74" i="44" s="1"/>
  <c r="K74" i="44" s="1"/>
  <c r="J73" i="44"/>
  <c r="F73" i="44" a="1"/>
  <c r="F73" i="44" s="1"/>
  <c r="J72" i="44"/>
  <c r="F72" i="44" a="1"/>
  <c r="F72" i="44" s="1"/>
  <c r="J71" i="44"/>
  <c r="K71" i="44" s="1"/>
  <c r="F71" i="44"/>
  <c r="F71" i="44" a="1"/>
  <c r="J70" i="44"/>
  <c r="F70" i="44" a="1"/>
  <c r="F70" i="44" s="1"/>
  <c r="K62" i="44"/>
  <c r="K64" i="44" s="1"/>
  <c r="K65" i="44" s="1"/>
  <c r="K58" i="44"/>
  <c r="J51" i="44"/>
  <c r="F51" i="44" a="1"/>
  <c r="F51" i="44" s="1"/>
  <c r="J50" i="44"/>
  <c r="F50" i="44" a="1"/>
  <c r="F50" i="44" s="1"/>
  <c r="J49" i="44"/>
  <c r="F49" i="44" a="1"/>
  <c r="F49" i="44" s="1"/>
  <c r="J48" i="44"/>
  <c r="F48" i="44" a="1"/>
  <c r="F48" i="44" s="1"/>
  <c r="K48" i="44" s="1"/>
  <c r="J47" i="44"/>
  <c r="K47" i="44" s="1"/>
  <c r="F47" i="44" a="1"/>
  <c r="F47" i="44" s="1"/>
  <c r="K39" i="44"/>
  <c r="K41" i="44" s="1"/>
  <c r="K42" i="44" s="1"/>
  <c r="K35" i="44"/>
  <c r="J28" i="44"/>
  <c r="F28" i="44" a="1"/>
  <c r="F28" i="44" s="1"/>
  <c r="J27" i="44"/>
  <c r="F27" i="44" a="1"/>
  <c r="F27" i="44" s="1"/>
  <c r="J26" i="44"/>
  <c r="K26" i="44" s="1"/>
  <c r="F26" i="44"/>
  <c r="F26" i="44" a="1"/>
  <c r="J25" i="44"/>
  <c r="F25" i="44" a="1"/>
  <c r="F25" i="44" s="1"/>
  <c r="J24" i="44"/>
  <c r="F24" i="44" a="1"/>
  <c r="F24" i="44" s="1"/>
  <c r="E9" i="44"/>
  <c r="K131" i="43"/>
  <c r="K133" i="43" s="1"/>
  <c r="K134" i="43" s="1"/>
  <c r="K127" i="43"/>
  <c r="J120" i="43"/>
  <c r="F120" i="43" a="1"/>
  <c r="F120" i="43" s="1"/>
  <c r="J119" i="43"/>
  <c r="K119" i="43" s="1"/>
  <c r="F119" i="43"/>
  <c r="F119" i="43" a="1"/>
  <c r="J118" i="43"/>
  <c r="F118" i="43" a="1"/>
  <c r="F118" i="43" s="1"/>
  <c r="J117" i="43"/>
  <c r="K117" i="43" s="1"/>
  <c r="F117" i="43" a="1"/>
  <c r="F117" i="43" s="1"/>
  <c r="J116" i="43"/>
  <c r="F116" i="43" a="1"/>
  <c r="F116" i="43" s="1"/>
  <c r="K108" i="43"/>
  <c r="K110" i="43" s="1"/>
  <c r="K111" i="43" s="1"/>
  <c r="K104" i="43"/>
  <c r="J97" i="43"/>
  <c r="F97" i="43" a="1"/>
  <c r="F97" i="43" s="1"/>
  <c r="J96" i="43"/>
  <c r="F96" i="43" a="1"/>
  <c r="F96" i="43" s="1"/>
  <c r="K96" i="43" s="1"/>
  <c r="J95" i="43"/>
  <c r="F95" i="43" a="1"/>
  <c r="F95" i="43" s="1"/>
  <c r="J94" i="43"/>
  <c r="K94" i="43" s="1"/>
  <c r="F94" i="43" a="1"/>
  <c r="F94" i="43" s="1"/>
  <c r="J93" i="43"/>
  <c r="K93" i="43" s="1"/>
  <c r="F93" i="43" a="1"/>
  <c r="F93" i="43" s="1"/>
  <c r="K85" i="43"/>
  <c r="K87" i="43" s="1"/>
  <c r="K88" i="43" s="1"/>
  <c r="K81" i="43"/>
  <c r="J74" i="43"/>
  <c r="K74" i="43" s="1"/>
  <c r="F74" i="43"/>
  <c r="F74" i="43" a="1"/>
  <c r="J73" i="43"/>
  <c r="F73" i="43" a="1"/>
  <c r="F73" i="43" s="1"/>
  <c r="J72" i="43"/>
  <c r="F72" i="43" a="1"/>
  <c r="F72" i="43" s="1"/>
  <c r="J71" i="43"/>
  <c r="F71" i="43" a="1"/>
  <c r="F71" i="43" s="1"/>
  <c r="J70" i="43"/>
  <c r="K70" i="43" s="1"/>
  <c r="F70" i="43" a="1"/>
  <c r="F70" i="43" s="1"/>
  <c r="K62" i="43"/>
  <c r="K64" i="43" s="1"/>
  <c r="K65" i="43" s="1"/>
  <c r="K58" i="43"/>
  <c r="J51" i="43"/>
  <c r="F51" i="43" a="1"/>
  <c r="F51" i="43" s="1"/>
  <c r="K51" i="43" s="1"/>
  <c r="J50" i="43"/>
  <c r="F50" i="43" a="1"/>
  <c r="F50" i="43" s="1"/>
  <c r="J49" i="43"/>
  <c r="F49" i="43" a="1"/>
  <c r="F49" i="43" s="1"/>
  <c r="J48" i="43"/>
  <c r="F48" i="43" a="1"/>
  <c r="F48" i="43" s="1"/>
  <c r="J47" i="43"/>
  <c r="F47" i="43" a="1"/>
  <c r="F47" i="43" s="1"/>
  <c r="K39" i="43"/>
  <c r="K41" i="43" s="1"/>
  <c r="K42" i="43" s="1"/>
  <c r="K35" i="43"/>
  <c r="J28" i="43"/>
  <c r="F28" i="43" a="1"/>
  <c r="F28" i="43" s="1"/>
  <c r="J27" i="43"/>
  <c r="F27" i="43" a="1"/>
  <c r="F27" i="43" s="1"/>
  <c r="J26" i="43"/>
  <c r="F26" i="43" a="1"/>
  <c r="F26" i="43" s="1"/>
  <c r="J25" i="43"/>
  <c r="F25" i="43" a="1"/>
  <c r="F25" i="43" s="1"/>
  <c r="J24" i="43"/>
  <c r="K24" i="43" s="1"/>
  <c r="F24" i="43" a="1"/>
  <c r="F24" i="43" s="1"/>
  <c r="E9" i="43"/>
  <c r="C9" i="33"/>
  <c r="C9" i="41"/>
  <c r="C8" i="33"/>
  <c r="C8" i="41"/>
  <c r="C9" i="31"/>
  <c r="C8" i="31"/>
  <c r="I47" i="31"/>
  <c r="R17" i="42"/>
  <c r="AU8" i="42" s="1"/>
  <c r="V15" i="42"/>
  <c r="V14" i="42"/>
  <c r="V13" i="42"/>
  <c r="V12" i="42"/>
  <c r="V11" i="42"/>
  <c r="V10" i="42"/>
  <c r="V9" i="42"/>
  <c r="V17" i="42" s="1"/>
  <c r="L21" i="42" s="1"/>
  <c r="K94" i="46" l="1"/>
  <c r="K98" i="46" s="1"/>
  <c r="K99" i="46" s="1"/>
  <c r="K95" i="46"/>
  <c r="K96" i="46"/>
  <c r="K97" i="46"/>
  <c r="K24" i="46"/>
  <c r="K117" i="46"/>
  <c r="K27" i="46"/>
  <c r="K118" i="46"/>
  <c r="K74" i="46"/>
  <c r="K47" i="46"/>
  <c r="K49" i="46"/>
  <c r="K50" i="46"/>
  <c r="K51" i="46"/>
  <c r="K116" i="46"/>
  <c r="K71" i="46"/>
  <c r="K75" i="46" s="1"/>
  <c r="K76" i="46" s="1"/>
  <c r="K72" i="46"/>
  <c r="K73" i="46"/>
  <c r="K28" i="46"/>
  <c r="K119" i="46"/>
  <c r="K120" i="46"/>
  <c r="C9" i="46"/>
  <c r="K26" i="46"/>
  <c r="K98" i="45"/>
  <c r="K99" i="45" s="1"/>
  <c r="K94" i="45"/>
  <c r="K95" i="45"/>
  <c r="K96" i="45"/>
  <c r="K51" i="45"/>
  <c r="K97" i="45"/>
  <c r="K24" i="45"/>
  <c r="K29" i="45" s="1"/>
  <c r="K30" i="45" s="1"/>
  <c r="C8" i="45" s="1"/>
  <c r="K75" i="45"/>
  <c r="K76" i="45" s="1"/>
  <c r="K116" i="45"/>
  <c r="K121" i="45" s="1"/>
  <c r="K122" i="45" s="1"/>
  <c r="K47" i="45"/>
  <c r="K52" i="45" s="1"/>
  <c r="K53" i="45" s="1"/>
  <c r="K49" i="45"/>
  <c r="K50" i="45"/>
  <c r="K117" i="45"/>
  <c r="K27" i="45"/>
  <c r="K118" i="45"/>
  <c r="K28" i="45"/>
  <c r="K73" i="45"/>
  <c r="K119" i="45"/>
  <c r="K74" i="45"/>
  <c r="K120" i="45"/>
  <c r="C9" i="45"/>
  <c r="K94" i="44"/>
  <c r="K95" i="44"/>
  <c r="K96" i="44"/>
  <c r="K51" i="44"/>
  <c r="K25" i="44"/>
  <c r="K98" i="44"/>
  <c r="K99" i="44" s="1"/>
  <c r="K49" i="44"/>
  <c r="K52" i="44" s="1"/>
  <c r="K53" i="44" s="1"/>
  <c r="C8" i="44" s="1"/>
  <c r="K50" i="44"/>
  <c r="K24" i="44"/>
  <c r="K29" i="44" s="1"/>
  <c r="K30" i="44" s="1"/>
  <c r="K70" i="44"/>
  <c r="K75" i="44" s="1"/>
  <c r="K76" i="44" s="1"/>
  <c r="K72" i="44"/>
  <c r="K27" i="44"/>
  <c r="K117" i="44"/>
  <c r="K121" i="44" s="1"/>
  <c r="K122" i="44" s="1"/>
  <c r="K73" i="44"/>
  <c r="K28" i="44"/>
  <c r="K118" i="44"/>
  <c r="C9" i="44"/>
  <c r="K97" i="43"/>
  <c r="K48" i="43"/>
  <c r="K49" i="43"/>
  <c r="K50" i="43"/>
  <c r="K116" i="43"/>
  <c r="K121" i="43" s="1"/>
  <c r="K122" i="43" s="1"/>
  <c r="K25" i="43"/>
  <c r="K29" i="43" s="1"/>
  <c r="K30" i="43" s="1"/>
  <c r="K71" i="43"/>
  <c r="K75" i="43" s="1"/>
  <c r="K76" i="43" s="1"/>
  <c r="K95" i="43"/>
  <c r="K98" i="43" s="1"/>
  <c r="K99" i="43" s="1"/>
  <c r="K26" i="43"/>
  <c r="K72" i="43"/>
  <c r="K118" i="43"/>
  <c r="K27" i="43"/>
  <c r="K73" i="43"/>
  <c r="K28" i="43"/>
  <c r="C9" i="43"/>
  <c r="K120" i="43"/>
  <c r="K47" i="43"/>
  <c r="L22" i="42"/>
  <c r="V21" i="42" s="1"/>
  <c r="AU9" i="42" s="1"/>
  <c r="AU13" i="42" s="1"/>
  <c r="AU14" i="42" s="1"/>
  <c r="AU20" i="42" s="1"/>
  <c r="AU21" i="42" s="1"/>
  <c r="AU22" i="42" s="1"/>
  <c r="F24" i="40" a="1"/>
  <c r="F24" i="40" s="1"/>
  <c r="K132" i="41"/>
  <c r="K134" i="41" s="1"/>
  <c r="K135" i="41" s="1"/>
  <c r="K128" i="41"/>
  <c r="J121" i="41"/>
  <c r="F121" i="41" a="1"/>
  <c r="F121" i="41" s="1"/>
  <c r="J120" i="41"/>
  <c r="F120" i="41" a="1"/>
  <c r="F120" i="41" s="1"/>
  <c r="J119" i="41"/>
  <c r="F119" i="41" a="1"/>
  <c r="F119" i="41" s="1"/>
  <c r="J118" i="41"/>
  <c r="F118" i="41" a="1"/>
  <c r="F118" i="41" s="1"/>
  <c r="J117" i="41"/>
  <c r="F117" i="41" a="1"/>
  <c r="F117" i="41" s="1"/>
  <c r="K109" i="41"/>
  <c r="K111" i="41" s="1"/>
  <c r="K112" i="41" s="1"/>
  <c r="K105" i="41"/>
  <c r="J98" i="41"/>
  <c r="F98" i="41" a="1"/>
  <c r="F98" i="41" s="1"/>
  <c r="J97" i="41"/>
  <c r="F97" i="41" a="1"/>
  <c r="F97" i="41" s="1"/>
  <c r="J96" i="41"/>
  <c r="F96" i="41" a="1"/>
  <c r="F96" i="41" s="1"/>
  <c r="J95" i="41"/>
  <c r="F95" i="41" a="1"/>
  <c r="F95" i="41" s="1"/>
  <c r="J94" i="41"/>
  <c r="F94" i="41" a="1"/>
  <c r="F94" i="41" s="1"/>
  <c r="K86" i="41"/>
  <c r="K88" i="41" s="1"/>
  <c r="K89" i="41" s="1"/>
  <c r="K82" i="41"/>
  <c r="J75" i="41"/>
  <c r="F75" i="41" a="1"/>
  <c r="F75" i="41" s="1"/>
  <c r="J74" i="41"/>
  <c r="F74" i="41" a="1"/>
  <c r="F74" i="41" s="1"/>
  <c r="J73" i="41"/>
  <c r="F73" i="41" a="1"/>
  <c r="F73" i="41" s="1"/>
  <c r="J72" i="41"/>
  <c r="F72" i="41" a="1"/>
  <c r="F72" i="41" s="1"/>
  <c r="J71" i="41"/>
  <c r="F71" i="41" a="1"/>
  <c r="F71" i="41" s="1"/>
  <c r="K63" i="41"/>
  <c r="K65" i="41" s="1"/>
  <c r="K66" i="41" s="1"/>
  <c r="K59" i="41"/>
  <c r="J52" i="41"/>
  <c r="F52" i="41" a="1"/>
  <c r="F52" i="41" s="1"/>
  <c r="J51" i="41"/>
  <c r="F51" i="41" a="1"/>
  <c r="F51" i="41" s="1"/>
  <c r="J50" i="41"/>
  <c r="F50" i="41" a="1"/>
  <c r="F50" i="41" s="1"/>
  <c r="J49" i="41"/>
  <c r="F49" i="41" a="1"/>
  <c r="F49" i="41" s="1"/>
  <c r="J48" i="41"/>
  <c r="F48" i="41" a="1"/>
  <c r="F48" i="41" s="1"/>
  <c r="K40" i="41"/>
  <c r="K36" i="41"/>
  <c r="J29" i="41"/>
  <c r="F29" i="41" a="1"/>
  <c r="F29" i="41" s="1"/>
  <c r="J28" i="41"/>
  <c r="F28" i="41" a="1"/>
  <c r="F28" i="41" s="1"/>
  <c r="J27" i="41"/>
  <c r="F27" i="41" a="1"/>
  <c r="F27" i="41" s="1"/>
  <c r="J26" i="41"/>
  <c r="F26" i="41" a="1"/>
  <c r="F26" i="41" s="1"/>
  <c r="J25" i="41"/>
  <c r="F25" i="41" a="1"/>
  <c r="F25" i="41" s="1"/>
  <c r="K131" i="40"/>
  <c r="K133" i="40" s="1"/>
  <c r="K134" i="40" s="1"/>
  <c r="K127" i="40"/>
  <c r="J120" i="40"/>
  <c r="F120" i="40" a="1"/>
  <c r="F120" i="40" s="1"/>
  <c r="J119" i="40"/>
  <c r="F119" i="40" a="1"/>
  <c r="F119" i="40" s="1"/>
  <c r="J118" i="40"/>
  <c r="F118" i="40" a="1"/>
  <c r="F118" i="40" s="1"/>
  <c r="J117" i="40"/>
  <c r="F117" i="40" a="1"/>
  <c r="F117" i="40" s="1"/>
  <c r="J116" i="40"/>
  <c r="F116" i="40" a="1"/>
  <c r="F116" i="40" s="1"/>
  <c r="K116" i="40" s="1"/>
  <c r="K108" i="40"/>
  <c r="K110" i="40" s="1"/>
  <c r="K111" i="40" s="1"/>
  <c r="K104" i="40"/>
  <c r="J97" i="40"/>
  <c r="F97" i="40" a="1"/>
  <c r="F97" i="40" s="1"/>
  <c r="J96" i="40"/>
  <c r="F96" i="40" a="1"/>
  <c r="F96" i="40" s="1"/>
  <c r="J95" i="40"/>
  <c r="F95" i="40" a="1"/>
  <c r="F95" i="40" s="1"/>
  <c r="J94" i="40"/>
  <c r="F94" i="40" a="1"/>
  <c r="F94" i="40" s="1"/>
  <c r="J93" i="40"/>
  <c r="F93" i="40" a="1"/>
  <c r="F93" i="40" s="1"/>
  <c r="K85" i="40"/>
  <c r="K87" i="40" s="1"/>
  <c r="K88" i="40" s="1"/>
  <c r="K81" i="40"/>
  <c r="J74" i="40"/>
  <c r="F74" i="40" a="1"/>
  <c r="F74" i="40" s="1"/>
  <c r="J73" i="40"/>
  <c r="F73" i="40" a="1"/>
  <c r="F73" i="40" s="1"/>
  <c r="J72" i="40"/>
  <c r="F72" i="40" a="1"/>
  <c r="F72" i="40" s="1"/>
  <c r="J71" i="40"/>
  <c r="F71" i="40" a="1"/>
  <c r="F71" i="40" s="1"/>
  <c r="K71" i="40" s="1"/>
  <c r="J70" i="40"/>
  <c r="F70" i="40" a="1"/>
  <c r="F70" i="40" s="1"/>
  <c r="K62" i="40"/>
  <c r="K58" i="40"/>
  <c r="J51" i="40"/>
  <c r="F51" i="40" a="1"/>
  <c r="F51" i="40" s="1"/>
  <c r="J50" i="40"/>
  <c r="F50" i="40" a="1"/>
  <c r="F50" i="40" s="1"/>
  <c r="J49" i="40"/>
  <c r="F49" i="40" a="1"/>
  <c r="F49" i="40" s="1"/>
  <c r="K49" i="40" s="1"/>
  <c r="J48" i="40"/>
  <c r="F48" i="40" a="1"/>
  <c r="F48" i="40" s="1"/>
  <c r="J47" i="40"/>
  <c r="F47" i="40" a="1"/>
  <c r="F47" i="40" s="1"/>
  <c r="K39" i="40"/>
  <c r="K35" i="40"/>
  <c r="J28" i="40"/>
  <c r="F28" i="40" a="1"/>
  <c r="F28" i="40" s="1"/>
  <c r="J27" i="40"/>
  <c r="F27" i="40" a="1"/>
  <c r="F27" i="40" s="1"/>
  <c r="J26" i="40"/>
  <c r="F26" i="40" a="1"/>
  <c r="F26" i="40" s="1"/>
  <c r="J25" i="40"/>
  <c r="F25" i="40" a="1"/>
  <c r="F25" i="40" s="1"/>
  <c r="J24" i="40"/>
  <c r="R17" i="35"/>
  <c r="AU8" i="35" s="1"/>
  <c r="V15" i="35"/>
  <c r="V14" i="35"/>
  <c r="V13" i="35"/>
  <c r="V12" i="35"/>
  <c r="V11" i="35"/>
  <c r="V10" i="35"/>
  <c r="V9" i="35"/>
  <c r="K40" i="33"/>
  <c r="K36" i="33"/>
  <c r="J29" i="33"/>
  <c r="F29" i="33" a="1"/>
  <c r="F29" i="33" s="1"/>
  <c r="J28" i="33"/>
  <c r="G28" i="33"/>
  <c r="F28" i="33" a="1"/>
  <c r="F28" i="33" s="1"/>
  <c r="J27" i="33"/>
  <c r="K41" i="33" s="1"/>
  <c r="G27" i="33"/>
  <c r="F27" i="33" a="1"/>
  <c r="F27" i="33" s="1"/>
  <c r="J26" i="33"/>
  <c r="G26" i="33"/>
  <c r="F26" i="33" a="1"/>
  <c r="F26" i="33" s="1"/>
  <c r="J25" i="33"/>
  <c r="G25" i="33"/>
  <c r="F25" i="33" a="1"/>
  <c r="F25" i="33" s="1"/>
  <c r="K132" i="33"/>
  <c r="K134" i="33" s="1"/>
  <c r="K135" i="33" s="1"/>
  <c r="K128" i="33"/>
  <c r="J121" i="33"/>
  <c r="F121" i="33" a="1"/>
  <c r="F121" i="33" s="1"/>
  <c r="J120" i="33"/>
  <c r="F120" i="33" a="1"/>
  <c r="F120" i="33" s="1"/>
  <c r="J119" i="33"/>
  <c r="F119" i="33" a="1"/>
  <c r="F119" i="33" s="1"/>
  <c r="J118" i="33"/>
  <c r="F118" i="33" a="1"/>
  <c r="F118" i="33" s="1"/>
  <c r="J117" i="33"/>
  <c r="F117" i="33" a="1"/>
  <c r="F117" i="33" s="1"/>
  <c r="K109" i="33"/>
  <c r="K111" i="33" s="1"/>
  <c r="K112" i="33" s="1"/>
  <c r="K105" i="33"/>
  <c r="J98" i="33"/>
  <c r="F98" i="33" a="1"/>
  <c r="F98" i="33" s="1"/>
  <c r="J97" i="33"/>
  <c r="F97" i="33" a="1"/>
  <c r="F97" i="33" s="1"/>
  <c r="J96" i="33"/>
  <c r="F96" i="33" a="1"/>
  <c r="F96" i="33" s="1"/>
  <c r="J95" i="33"/>
  <c r="F95" i="33" a="1"/>
  <c r="F95" i="33" s="1"/>
  <c r="J94" i="33"/>
  <c r="F94" i="33" a="1"/>
  <c r="F94" i="33" s="1"/>
  <c r="K86" i="33"/>
  <c r="K88" i="33" s="1"/>
  <c r="K89" i="33" s="1"/>
  <c r="K82" i="33"/>
  <c r="J75" i="33"/>
  <c r="F75" i="33" a="1"/>
  <c r="F75" i="33" s="1"/>
  <c r="J74" i="33"/>
  <c r="F74" i="33" a="1"/>
  <c r="F74" i="33" s="1"/>
  <c r="J73" i="33"/>
  <c r="F73" i="33" a="1"/>
  <c r="F73" i="33" s="1"/>
  <c r="J72" i="33"/>
  <c r="F72" i="33" a="1"/>
  <c r="F72" i="33" s="1"/>
  <c r="J71" i="33"/>
  <c r="F71" i="33" a="1"/>
  <c r="F71" i="33" s="1"/>
  <c r="K63" i="33"/>
  <c r="K65" i="33" s="1"/>
  <c r="K66" i="33" s="1"/>
  <c r="K59" i="33"/>
  <c r="J52" i="33"/>
  <c r="F52" i="33" a="1"/>
  <c r="F52" i="33" s="1"/>
  <c r="J51" i="33"/>
  <c r="F51" i="33" a="1"/>
  <c r="F51" i="33" s="1"/>
  <c r="J50" i="33"/>
  <c r="F50" i="33" a="1"/>
  <c r="F50" i="33" s="1"/>
  <c r="J49" i="33"/>
  <c r="F49" i="33" a="1"/>
  <c r="F49" i="33" s="1"/>
  <c r="J48" i="33"/>
  <c r="F48" i="33" a="1"/>
  <c r="F48" i="33" s="1"/>
  <c r="K131" i="31"/>
  <c r="K133" i="31" s="1"/>
  <c r="K134" i="31" s="1"/>
  <c r="K127" i="31"/>
  <c r="K108" i="31"/>
  <c r="K110" i="31" s="1"/>
  <c r="K111" i="31" s="1"/>
  <c r="K104" i="31"/>
  <c r="K85" i="31"/>
  <c r="K87" i="31" s="1"/>
  <c r="K88" i="31" s="1"/>
  <c r="K62" i="31"/>
  <c r="K39" i="31"/>
  <c r="F120" i="31" a="1"/>
  <c r="F120" i="31" s="1"/>
  <c r="F119" i="31" a="1"/>
  <c r="F119" i="31" s="1"/>
  <c r="F118" i="31" a="1"/>
  <c r="F118" i="31" s="1"/>
  <c r="F117" i="31" a="1"/>
  <c r="F117" i="31" s="1"/>
  <c r="F116" i="31" a="1"/>
  <c r="F116" i="31" s="1"/>
  <c r="F97" i="31" a="1"/>
  <c r="F97" i="31" s="1"/>
  <c r="F96" i="31" a="1"/>
  <c r="F96" i="31" s="1"/>
  <c r="F95" i="31" a="1"/>
  <c r="F95" i="31" s="1"/>
  <c r="F94" i="31" a="1"/>
  <c r="F94" i="31" s="1"/>
  <c r="F93" i="31" a="1"/>
  <c r="F93" i="31" s="1"/>
  <c r="F74" i="31" a="1"/>
  <c r="F74" i="31" s="1"/>
  <c r="F73" i="31" a="1"/>
  <c r="F73" i="31" s="1"/>
  <c r="F72" i="31" a="1"/>
  <c r="F72" i="31" s="1"/>
  <c r="F71" i="31" a="1"/>
  <c r="F71" i="31" s="1"/>
  <c r="F70" i="31" a="1"/>
  <c r="F70" i="31" s="1"/>
  <c r="F51" i="31" a="1"/>
  <c r="F51" i="31" s="1"/>
  <c r="F50" i="31" a="1"/>
  <c r="F50" i="31" s="1"/>
  <c r="F49" i="31" a="1"/>
  <c r="F49" i="31" s="1"/>
  <c r="F48" i="31" a="1"/>
  <c r="F48" i="31" s="1"/>
  <c r="F47" i="31" a="1"/>
  <c r="F47" i="31" s="1"/>
  <c r="F28" i="31" a="1"/>
  <c r="F28" i="31" s="1"/>
  <c r="F27" i="31" a="1"/>
  <c r="F27" i="31" s="1"/>
  <c r="F26" i="31" a="1"/>
  <c r="F26" i="31" s="1"/>
  <c r="F25" i="31" a="1"/>
  <c r="F25" i="31" s="1"/>
  <c r="F24" i="31" a="1"/>
  <c r="F24" i="31" s="1"/>
  <c r="G50" i="31"/>
  <c r="G49" i="31"/>
  <c r="G48" i="31"/>
  <c r="J47" i="31"/>
  <c r="G47" i="31"/>
  <c r="K35" i="31"/>
  <c r="K58" i="31"/>
  <c r="K81" i="31"/>
  <c r="G27" i="31"/>
  <c r="G26" i="31"/>
  <c r="G25" i="31"/>
  <c r="G24" i="31"/>
  <c r="J120" i="31"/>
  <c r="J119" i="31"/>
  <c r="J118" i="31"/>
  <c r="J117" i="31"/>
  <c r="J116" i="31"/>
  <c r="J97" i="31"/>
  <c r="J96" i="31"/>
  <c r="J95" i="31"/>
  <c r="J94" i="31"/>
  <c r="J93" i="31"/>
  <c r="J74" i="31"/>
  <c r="J73" i="31"/>
  <c r="J72" i="31"/>
  <c r="J71" i="31"/>
  <c r="J70" i="31"/>
  <c r="J51" i="31"/>
  <c r="J50" i="31"/>
  <c r="J49" i="31"/>
  <c r="K63" i="31" s="1"/>
  <c r="J48" i="31"/>
  <c r="J28" i="31"/>
  <c r="J27" i="31"/>
  <c r="J26" i="31"/>
  <c r="K40" i="31" s="1"/>
  <c r="J25" i="31"/>
  <c r="J24" i="31"/>
  <c r="K121" i="46" l="1"/>
  <c r="K122" i="46" s="1"/>
  <c r="K52" i="46"/>
  <c r="K53" i="46" s="1"/>
  <c r="K29" i="46"/>
  <c r="K30" i="46" s="1"/>
  <c r="C8" i="46" s="1"/>
  <c r="C14" i="45"/>
  <c r="C17" i="45" s="1"/>
  <c r="C10" i="45"/>
  <c r="C11" i="45" s="1"/>
  <c r="C12" i="45" s="1"/>
  <c r="C10" i="44"/>
  <c r="C11" i="44" s="1"/>
  <c r="C12" i="44" s="1"/>
  <c r="C14" i="44" s="1"/>
  <c r="C17" i="44" s="1"/>
  <c r="C8" i="43"/>
  <c r="K52" i="43"/>
  <c r="K53" i="43" s="1"/>
  <c r="K64" i="31"/>
  <c r="K65" i="31" s="1"/>
  <c r="AU15" i="42"/>
  <c r="AU24" i="42" s="1"/>
  <c r="AU25" i="42" s="1"/>
  <c r="AU26" i="42" s="1"/>
  <c r="K118" i="40"/>
  <c r="K28" i="40"/>
  <c r="K94" i="40"/>
  <c r="K117" i="41"/>
  <c r="K72" i="41"/>
  <c r="V17" i="35"/>
  <c r="L21" i="35" s="1"/>
  <c r="L22" i="35"/>
  <c r="K42" i="41"/>
  <c r="K43" i="41" s="1"/>
  <c r="K64" i="40"/>
  <c r="K65" i="40" s="1"/>
  <c r="K50" i="40"/>
  <c r="K41" i="40"/>
  <c r="K42" i="40" s="1"/>
  <c r="C9" i="40" s="1"/>
  <c r="K27" i="40"/>
  <c r="K73" i="40"/>
  <c r="K95" i="41"/>
  <c r="K96" i="41"/>
  <c r="K25" i="40"/>
  <c r="K95" i="40"/>
  <c r="K51" i="40"/>
  <c r="K28" i="41"/>
  <c r="K73" i="41"/>
  <c r="K119" i="41"/>
  <c r="K50" i="41"/>
  <c r="K51" i="41"/>
  <c r="K24" i="40"/>
  <c r="K96" i="40"/>
  <c r="K118" i="41"/>
  <c r="K74" i="41"/>
  <c r="K29" i="41"/>
  <c r="K117" i="40"/>
  <c r="K72" i="40"/>
  <c r="K97" i="41"/>
  <c r="K74" i="40"/>
  <c r="K98" i="41"/>
  <c r="K48" i="41"/>
  <c r="K25" i="41"/>
  <c r="K49" i="41"/>
  <c r="K93" i="40"/>
  <c r="K26" i="41"/>
  <c r="K75" i="41"/>
  <c r="K27" i="41"/>
  <c r="K47" i="40"/>
  <c r="K70" i="40"/>
  <c r="K119" i="40"/>
  <c r="K94" i="41"/>
  <c r="K120" i="40"/>
  <c r="K48" i="40"/>
  <c r="K52" i="41"/>
  <c r="K120" i="41"/>
  <c r="K26" i="40"/>
  <c r="K121" i="41"/>
  <c r="K97" i="40"/>
  <c r="K71" i="41"/>
  <c r="K97" i="31"/>
  <c r="K116" i="31"/>
  <c r="K118" i="31"/>
  <c r="K96" i="31"/>
  <c r="K117" i="31"/>
  <c r="K94" i="31"/>
  <c r="K93" i="31"/>
  <c r="K41" i="31"/>
  <c r="K42" i="31" s="1"/>
  <c r="K95" i="31"/>
  <c r="K25" i="33"/>
  <c r="K26" i="33"/>
  <c r="K27" i="33"/>
  <c r="K28" i="33"/>
  <c r="K29" i="33"/>
  <c r="K42" i="33"/>
  <c r="K43" i="33" s="1"/>
  <c r="K48" i="33"/>
  <c r="K49" i="33"/>
  <c r="K50" i="33"/>
  <c r="K51" i="33"/>
  <c r="K52" i="33"/>
  <c r="K71" i="33"/>
  <c r="K72" i="33"/>
  <c r="K73" i="33"/>
  <c r="K74" i="33"/>
  <c r="K75" i="33"/>
  <c r="K94" i="33"/>
  <c r="K95" i="33"/>
  <c r="K96" i="33"/>
  <c r="K97" i="33"/>
  <c r="K98" i="33"/>
  <c r="K117" i="33"/>
  <c r="K118" i="33"/>
  <c r="K119" i="33"/>
  <c r="K120" i="33"/>
  <c r="K121" i="33"/>
  <c r="K26" i="31"/>
  <c r="K27" i="31"/>
  <c r="K48" i="31"/>
  <c r="K49" i="31"/>
  <c r="K50" i="31"/>
  <c r="K51" i="31"/>
  <c r="K24" i="31"/>
  <c r="K25" i="31"/>
  <c r="K70" i="31"/>
  <c r="K71" i="31"/>
  <c r="K72" i="31"/>
  <c r="K73" i="31"/>
  <c r="K28" i="31"/>
  <c r="K74" i="31"/>
  <c r="K119" i="31"/>
  <c r="K120" i="31"/>
  <c r="K47" i="31"/>
  <c r="C10" i="46" l="1"/>
  <c r="C11" i="46" s="1"/>
  <c r="C12" i="46" s="1"/>
  <c r="C14" i="46" s="1"/>
  <c r="C17" i="46" s="1"/>
  <c r="C10" i="43"/>
  <c r="C11" i="43" s="1"/>
  <c r="C12" i="43" s="1"/>
  <c r="C14" i="43" s="1"/>
  <c r="C17" i="43" s="1"/>
  <c r="K76" i="41"/>
  <c r="K77" i="41" s="1"/>
  <c r="K121" i="40"/>
  <c r="K122" i="40" s="1"/>
  <c r="K53" i="41"/>
  <c r="K54" i="41" s="1"/>
  <c r="K122" i="41"/>
  <c r="K123" i="41" s="1"/>
  <c r="V21" i="35"/>
  <c r="AU9" i="35" s="1"/>
  <c r="AU13" i="35" s="1"/>
  <c r="AU14" i="35" s="1"/>
  <c r="AU20" i="35" s="1"/>
  <c r="AU21" i="35" s="1"/>
  <c r="K99" i="41"/>
  <c r="K100" i="41" s="1"/>
  <c r="K52" i="40"/>
  <c r="K53" i="40" s="1"/>
  <c r="K29" i="40"/>
  <c r="K30" i="40" s="1"/>
  <c r="K75" i="40"/>
  <c r="K76" i="40" s="1"/>
  <c r="K98" i="40"/>
  <c r="K99" i="40" s="1"/>
  <c r="K30" i="41"/>
  <c r="K31" i="41" s="1"/>
  <c r="K98" i="31"/>
  <c r="K99" i="31" s="1"/>
  <c r="K30" i="33"/>
  <c r="K31" i="33" s="1"/>
  <c r="K122" i="33"/>
  <c r="K123" i="33" s="1"/>
  <c r="K99" i="33"/>
  <c r="K100" i="33" s="1"/>
  <c r="K76" i="33"/>
  <c r="K77" i="33" s="1"/>
  <c r="K53" i="33"/>
  <c r="K54" i="33" s="1"/>
  <c r="K121" i="31"/>
  <c r="K122" i="31" s="1"/>
  <c r="K75" i="31"/>
  <c r="K76" i="31" s="1"/>
  <c r="K29" i="31"/>
  <c r="K30" i="31" s="1"/>
  <c r="K52" i="31"/>
  <c r="K53" i="31" s="1"/>
  <c r="C10" i="31" l="1"/>
  <c r="C8" i="40"/>
  <c r="AU15" i="35"/>
  <c r="AU24" i="35" s="1"/>
  <c r="AU25" i="35" s="1"/>
  <c r="AU26" i="35" s="1"/>
  <c r="C14" i="33" l="1"/>
  <c r="C10" i="41"/>
  <c r="C14" i="41"/>
  <c r="C10" i="40"/>
  <c r="C11" i="40" s="1"/>
  <c r="C12" i="40" s="1"/>
  <c r="C10" i="33"/>
  <c r="C11" i="33" s="1"/>
  <c r="C12" i="33" s="1"/>
  <c r="E9" i="31"/>
  <c r="C11" i="31"/>
  <c r="C12" i="31" s="1"/>
  <c r="C11" i="41"/>
  <c r="C12" i="41" s="1"/>
  <c r="E14" i="33" l="1"/>
  <c r="C15" i="33" s="1"/>
  <c r="C18" i="33" s="1"/>
  <c r="C14" i="31"/>
  <c r="C17" i="31" s="1"/>
  <c r="E14" i="41"/>
  <c r="C15" i="41" s="1"/>
  <c r="C18" i="41" s="1"/>
  <c r="C14" i="40"/>
  <c r="C17" i="40" s="1"/>
  <c r="E9" i="33"/>
  <c r="AU22" i="35"/>
  <c r="E9" i="40" l="1"/>
  <c r="E9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A13" authorId="0" shapeId="0" xr:uid="{A52F6E76-5D2A-4A45-804F-2235D04B72AC}">
      <text>
        <r>
          <rPr>
            <b/>
            <sz val="9"/>
            <color indexed="81"/>
            <rFont val="Tahoma"/>
            <charset val="1"/>
          </rPr>
          <t>MWRDGC:</t>
        </r>
        <r>
          <rPr>
            <sz val="9"/>
            <color indexed="81"/>
            <rFont val="Tahoma"/>
            <charset val="1"/>
          </rPr>
          <t xml:space="preserve">
Varies depending on type of project and location</t>
        </r>
      </text>
    </comment>
    <comment ref="A16" authorId="0" shapeId="0" xr:uid="{1BC81C2A-D869-4CBE-BAFD-A1B0D6CE5DFD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Varies depending on type of project and location</t>
        </r>
      </text>
    </comment>
    <comment ref="G16" authorId="0" shapeId="0" xr:uid="{CFC0BA39-0E32-4103-881D-EC79C680CE05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Established at project selection, based off cost estimate provided in full application</t>
        </r>
      </text>
    </comment>
    <comment ref="D23" authorId="0" shapeId="0" xr:uid="{A4867C16-FBCC-4099-BBB4-C208AFC3F597}">
      <text>
        <r>
          <rPr>
            <b/>
            <sz val="10"/>
            <color indexed="81"/>
            <rFont val="Arial"/>
            <family val="2"/>
          </rPr>
          <t>MWRDGC:</t>
        </r>
        <r>
          <rPr>
            <sz val="10"/>
            <rFont val="Arial"/>
          </rPr>
          <t xml:space="preserve">
See standard assumptions in top right of this sheet to help fill this in.</t>
        </r>
      </text>
    </comment>
    <comment ref="E23" authorId="0" shapeId="0" xr:uid="{91FB6758-4EBF-4E2C-A172-AC0C5EC8B32E}">
      <text>
        <r>
          <rPr>
            <sz val="10"/>
            <rFont val="Arial"/>
          </rPr>
          <t>MWRDGC:
See explanation listed in the Notes, above.</t>
        </r>
      </text>
    </comment>
    <comment ref="D46" authorId="0" shapeId="0" xr:uid="{6595DF5B-5134-43D8-B397-6F571DA3690D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6" authorId="0" shapeId="0" xr:uid="{7BA9FEAC-66C7-4A5E-9D3D-1582F7D9AD61}">
      <text>
        <r>
          <rPr>
            <sz val="10"/>
            <rFont val="Arial"/>
          </rPr>
          <t>MWRDGC:
See explanation listed in the Notes, above.</t>
        </r>
      </text>
    </comment>
    <comment ref="D69" authorId="0" shapeId="0" xr:uid="{273602F0-49B2-46A7-B0A7-6EA60F921CF0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69" authorId="0" shapeId="0" xr:uid="{969FBAF9-2900-44CE-9C21-F138BC944E9E}">
      <text>
        <r>
          <rPr>
            <sz val="10"/>
            <rFont val="Arial"/>
          </rPr>
          <t>MWRDGC:
See explanation listed in the Notes, above.</t>
        </r>
      </text>
    </comment>
    <comment ref="D92" authorId="0" shapeId="0" xr:uid="{E101F350-23B2-40D0-A575-66B7A31059AE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2" authorId="0" shapeId="0" xr:uid="{58DEA59E-C70B-4875-9351-3B81A4861A17}">
      <text>
        <r>
          <rPr>
            <sz val="10"/>
            <rFont val="Arial"/>
          </rPr>
          <t>MWRDGC:
See explanation listed in the Notes, above.</t>
        </r>
      </text>
    </comment>
    <comment ref="D115" authorId="0" shapeId="0" xr:uid="{212F7FCA-001A-4E54-B397-443FC2B0E525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5" authorId="0" shapeId="0" xr:uid="{F1D61FB5-B7C6-4E6C-937E-43FD2F547EFF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A13" authorId="0" shapeId="0" xr:uid="{45C420B2-FACA-4B87-AA1D-87EFBED73DC4}">
      <text>
        <r>
          <rPr>
            <b/>
            <sz val="9"/>
            <color indexed="81"/>
            <rFont val="Tahoma"/>
            <charset val="1"/>
          </rPr>
          <t>MWRDGC:</t>
        </r>
        <r>
          <rPr>
            <sz val="9"/>
            <color indexed="81"/>
            <rFont val="Tahoma"/>
            <charset val="1"/>
          </rPr>
          <t xml:space="preserve">
Varies depending on type of project and location</t>
        </r>
      </text>
    </comment>
    <comment ref="A16" authorId="0" shapeId="0" xr:uid="{586095F1-0278-4513-A914-B05E06D29BBB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Varies depending on type of project and location</t>
        </r>
      </text>
    </comment>
    <comment ref="G16" authorId="0" shapeId="0" xr:uid="{13B6047E-9D57-45B7-BF44-AB7587225A48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Established at project selection, based off cost estimate provided in full application</t>
        </r>
      </text>
    </comment>
    <comment ref="D23" authorId="0" shapeId="0" xr:uid="{1E305A48-6610-4D18-B379-30BD372C2414}">
      <text>
        <r>
          <rPr>
            <b/>
            <sz val="10"/>
            <color indexed="81"/>
            <rFont val="Arial"/>
            <family val="2"/>
          </rPr>
          <t>MWRDGC:</t>
        </r>
        <r>
          <rPr>
            <sz val="10"/>
            <rFont val="Arial"/>
          </rPr>
          <t xml:space="preserve">
See standard assumptions in top right of this sheet to help fill this in.</t>
        </r>
      </text>
    </comment>
    <comment ref="E23" authorId="0" shapeId="0" xr:uid="{7A296874-DC91-464A-8F51-8A41A966D1AE}">
      <text>
        <r>
          <rPr>
            <sz val="10"/>
            <rFont val="Arial"/>
          </rPr>
          <t>MWRDGC:
See explanation listed in the Notes, above.</t>
        </r>
      </text>
    </comment>
    <comment ref="D46" authorId="0" shapeId="0" xr:uid="{3766ACA0-CA15-4697-ABAE-81B832A2A1C6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6" authorId="0" shapeId="0" xr:uid="{E366ACFC-22EA-437E-9D16-3D1E80B74EB0}">
      <text>
        <r>
          <rPr>
            <sz val="10"/>
            <rFont val="Arial"/>
          </rPr>
          <t>MWRDGC:
See explanation listed in the Notes, above.</t>
        </r>
      </text>
    </comment>
    <comment ref="D69" authorId="0" shapeId="0" xr:uid="{A87FE6E4-D315-4EDA-BEDF-4266E13431EE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69" authorId="0" shapeId="0" xr:uid="{438BB99C-9F37-4C33-8ED9-B676C41D7F16}">
      <text>
        <r>
          <rPr>
            <sz val="10"/>
            <rFont val="Arial"/>
          </rPr>
          <t>MWRDGC:
See explanation listed in the Notes, above.</t>
        </r>
      </text>
    </comment>
    <comment ref="D92" authorId="0" shapeId="0" xr:uid="{99A56B79-CD79-4CA8-81DE-BA4B05312849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2" authorId="0" shapeId="0" xr:uid="{DA622947-5CFB-45C2-A765-8047487A2728}">
      <text>
        <r>
          <rPr>
            <sz val="10"/>
            <rFont val="Arial"/>
          </rPr>
          <t>MWRDGC:
See explanation listed in the Notes, above.</t>
        </r>
      </text>
    </comment>
    <comment ref="D115" authorId="0" shapeId="0" xr:uid="{C4AD7B71-78EF-4523-AB4B-00EC2A3C4170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5" authorId="0" shapeId="0" xr:uid="{4D171D01-64D8-45EB-924D-E1797D3639E6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A13" authorId="0" shapeId="0" xr:uid="{283DFC8C-AC4F-4766-BABD-8E49907C40D5}">
      <text>
        <r>
          <rPr>
            <b/>
            <sz val="9"/>
            <color indexed="81"/>
            <rFont val="Tahoma"/>
            <charset val="1"/>
          </rPr>
          <t>MWRDGC:</t>
        </r>
        <r>
          <rPr>
            <sz val="9"/>
            <color indexed="81"/>
            <rFont val="Tahoma"/>
            <charset val="1"/>
          </rPr>
          <t xml:space="preserve">
Varies depending on type of project and location</t>
        </r>
      </text>
    </comment>
    <comment ref="A16" authorId="0" shapeId="0" xr:uid="{42EF7CBB-E48F-4F87-9F91-A0C1B313C349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Varies depending on type of project and location</t>
        </r>
      </text>
    </comment>
    <comment ref="G16" authorId="0" shapeId="0" xr:uid="{A87C76E8-6060-4DEE-AC68-EDAE796F9840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Established at project selection, based off cost estimate provided in full application</t>
        </r>
      </text>
    </comment>
    <comment ref="D23" authorId="0" shapeId="0" xr:uid="{CAB0AADD-C13E-41B8-9A93-6DCB9621B195}">
      <text>
        <r>
          <rPr>
            <b/>
            <sz val="10"/>
            <color indexed="81"/>
            <rFont val="Arial"/>
            <family val="2"/>
          </rPr>
          <t>MWRDGC:</t>
        </r>
        <r>
          <rPr>
            <sz val="10"/>
            <rFont val="Arial"/>
          </rPr>
          <t xml:space="preserve">
See standard assumptions in top right of this sheet to help fill this in.</t>
        </r>
      </text>
    </comment>
    <comment ref="E23" authorId="0" shapeId="0" xr:uid="{350A0A5C-40E0-4ECB-9EFD-3E7EEA55C6C7}">
      <text>
        <r>
          <rPr>
            <sz val="10"/>
            <rFont val="Arial"/>
          </rPr>
          <t>MWRDGC:
See explanation listed in the Notes, above.</t>
        </r>
      </text>
    </comment>
    <comment ref="D46" authorId="0" shapeId="0" xr:uid="{377783F0-97E6-454B-B385-A42F98C09B89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6" authorId="0" shapeId="0" xr:uid="{EF41572B-7B63-4FD6-B637-7EAD49178305}">
      <text>
        <r>
          <rPr>
            <sz val="10"/>
            <rFont val="Arial"/>
          </rPr>
          <t>MWRDGC:
See explanation listed in the Notes, above.</t>
        </r>
      </text>
    </comment>
    <comment ref="D69" authorId="0" shapeId="0" xr:uid="{B76816BC-BBBF-429F-91D3-4E96AF26A8F2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69" authorId="0" shapeId="0" xr:uid="{21C1752B-77E6-4712-BF16-1555CB400C91}">
      <text>
        <r>
          <rPr>
            <sz val="10"/>
            <rFont val="Arial"/>
          </rPr>
          <t>MWRDGC:
See explanation listed in the Notes, above.</t>
        </r>
      </text>
    </comment>
    <comment ref="D92" authorId="0" shapeId="0" xr:uid="{62785524-FDFF-402A-B87A-32292910A8BD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2" authorId="0" shapeId="0" xr:uid="{D0D9BC07-2047-439C-9607-508E548EDA52}">
      <text>
        <r>
          <rPr>
            <sz val="10"/>
            <rFont val="Arial"/>
          </rPr>
          <t>MWRDGC:
See explanation listed in the Notes, above.</t>
        </r>
      </text>
    </comment>
    <comment ref="D115" authorId="0" shapeId="0" xr:uid="{85D87302-FAB0-46F0-9574-8B47F81C1CBA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5" authorId="0" shapeId="0" xr:uid="{F946F555-9433-45D6-86E5-F508E5D50B70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A13" authorId="0" shapeId="0" xr:uid="{2593229A-6C48-43D0-81D9-1A94A8FC8412}">
      <text>
        <r>
          <rPr>
            <b/>
            <sz val="9"/>
            <color indexed="81"/>
            <rFont val="Tahoma"/>
            <charset val="1"/>
          </rPr>
          <t>MWRDGC:</t>
        </r>
        <r>
          <rPr>
            <sz val="9"/>
            <color indexed="81"/>
            <rFont val="Tahoma"/>
            <charset val="1"/>
          </rPr>
          <t xml:space="preserve">
Varies depending on type of project and location</t>
        </r>
      </text>
    </comment>
    <comment ref="A16" authorId="0" shapeId="0" xr:uid="{E72E9935-35C7-4001-93E2-0B232AAE6B08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Varies depending on type of project and location</t>
        </r>
      </text>
    </comment>
    <comment ref="G16" authorId="0" shapeId="0" xr:uid="{B4ADBBD9-4581-425E-8300-E1E01BC007EB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Established at project selection, based off cost estimate provided in full application</t>
        </r>
      </text>
    </comment>
    <comment ref="D23" authorId="0" shapeId="0" xr:uid="{6B88392A-A40C-48DE-BEE3-3949D485A20A}">
      <text>
        <r>
          <rPr>
            <b/>
            <sz val="10"/>
            <color indexed="81"/>
            <rFont val="Arial"/>
            <family val="2"/>
          </rPr>
          <t>MWRDGC:</t>
        </r>
        <r>
          <rPr>
            <sz val="10"/>
            <rFont val="Arial"/>
          </rPr>
          <t xml:space="preserve">
See standard assumptions in top right of this sheet to help fill this in.</t>
        </r>
      </text>
    </comment>
    <comment ref="E23" authorId="0" shapeId="0" xr:uid="{97F6F1C5-6A00-47F2-9710-5BFE0AEDEDFD}">
      <text>
        <r>
          <rPr>
            <sz val="10"/>
            <rFont val="Arial"/>
          </rPr>
          <t>MWRDGC:
See explanation listed in the Notes, above.</t>
        </r>
      </text>
    </comment>
    <comment ref="D46" authorId="0" shapeId="0" xr:uid="{A6F139EA-3D99-46F2-AED9-02671C073C29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6" authorId="0" shapeId="0" xr:uid="{BBA8F649-7792-452B-95F3-EE1933AB490D}">
      <text>
        <r>
          <rPr>
            <sz val="10"/>
            <rFont val="Arial"/>
          </rPr>
          <t>MWRDGC:
See explanation listed in the Notes, above.</t>
        </r>
      </text>
    </comment>
    <comment ref="D69" authorId="0" shapeId="0" xr:uid="{14A8B6D7-FB4B-49E0-9A66-5735039E33B1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69" authorId="0" shapeId="0" xr:uid="{B1714923-0E3D-43E7-9A64-F63B2196B8CD}">
      <text>
        <r>
          <rPr>
            <sz val="10"/>
            <rFont val="Arial"/>
          </rPr>
          <t>MWRDGC:
See explanation listed in the Notes, above.</t>
        </r>
      </text>
    </comment>
    <comment ref="D92" authorId="0" shapeId="0" xr:uid="{8652E896-BA5C-425D-9BD7-D509E8AC53C5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2" authorId="0" shapeId="0" xr:uid="{898178AD-1423-44BD-8E8E-6017EA13516F}">
      <text>
        <r>
          <rPr>
            <sz val="10"/>
            <rFont val="Arial"/>
          </rPr>
          <t>MWRDGC:
See explanation listed in the Notes, above.</t>
        </r>
      </text>
    </comment>
    <comment ref="D115" authorId="0" shapeId="0" xr:uid="{D336BAC2-0315-4C25-92D2-54F20A757E3B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5" authorId="0" shapeId="0" xr:uid="{76FE60EB-41A2-43A5-91BE-F4EA3570B3CD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A13" authorId="0" shapeId="0" xr:uid="{AC025E0A-EA40-47C6-83EB-B1B279C96185}">
      <text>
        <r>
          <rPr>
            <b/>
            <sz val="9"/>
            <color indexed="81"/>
            <rFont val="Tahoma"/>
            <charset val="1"/>
          </rPr>
          <t>MWRDGC:</t>
        </r>
        <r>
          <rPr>
            <sz val="9"/>
            <color indexed="81"/>
            <rFont val="Tahoma"/>
            <charset val="1"/>
          </rPr>
          <t xml:space="preserve">
Varies depending on type of project and location</t>
        </r>
      </text>
    </comment>
    <comment ref="A16" authorId="0" shapeId="0" xr:uid="{3B292CD3-8A5E-4D02-8C85-C05B25D4E5C2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Varies depending on type of project and location</t>
        </r>
      </text>
    </comment>
    <comment ref="G16" authorId="0" shapeId="0" xr:uid="{14CCF270-A196-4FB0-AB5F-20F9210095E0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Established at project selection, based off cost estimate provided in full application</t>
        </r>
      </text>
    </comment>
    <comment ref="D23" authorId="0" shapeId="0" xr:uid="{584AEF52-8CE1-420C-97B1-7223B6839022}">
      <text>
        <r>
          <rPr>
            <b/>
            <sz val="10"/>
            <color indexed="81"/>
            <rFont val="Arial"/>
            <family val="2"/>
          </rPr>
          <t>MWRDGC:</t>
        </r>
        <r>
          <rPr>
            <sz val="10"/>
            <rFont val="Arial"/>
          </rPr>
          <t xml:space="preserve">
See standard assumptions in top right of this sheet to help fill this in.</t>
        </r>
      </text>
    </comment>
    <comment ref="E23" authorId="0" shapeId="0" xr:uid="{96E7970E-E80A-4B07-93DA-7C63776041B9}">
      <text>
        <r>
          <rPr>
            <sz val="10"/>
            <rFont val="Arial"/>
          </rPr>
          <t>MWRDGC:
See explanation listed in the Notes, above.</t>
        </r>
      </text>
    </comment>
    <comment ref="D46" authorId="0" shapeId="0" xr:uid="{6C1AA6F9-ECBE-49B7-AF17-D73AA75E8D3A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6" authorId="0" shapeId="0" xr:uid="{CBB48BE2-452B-4F45-B789-F03ACA6E6372}">
      <text>
        <r>
          <rPr>
            <sz val="10"/>
            <rFont val="Arial"/>
          </rPr>
          <t>MWRDGC:
See explanation listed in the Notes, above.</t>
        </r>
      </text>
    </comment>
    <comment ref="D69" authorId="0" shapeId="0" xr:uid="{FBB8B125-A975-4547-A1A1-6B70DEB20A71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69" authorId="0" shapeId="0" xr:uid="{7E90E869-AE6D-4ABE-B544-D42F2545EF29}">
      <text>
        <r>
          <rPr>
            <sz val="10"/>
            <rFont val="Arial"/>
          </rPr>
          <t>MWRDGC:
See explanation listed in the Notes, above.</t>
        </r>
      </text>
    </comment>
    <comment ref="D92" authorId="0" shapeId="0" xr:uid="{3CC5E6BA-26E9-440A-A15F-70243F69895E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2" authorId="0" shapeId="0" xr:uid="{38DFD73C-26AA-4113-8556-DF7E79B0BE94}">
      <text>
        <r>
          <rPr>
            <sz val="10"/>
            <rFont val="Arial"/>
          </rPr>
          <t>MWRDGC:
See explanation listed in the Notes, above.</t>
        </r>
      </text>
    </comment>
    <comment ref="D115" authorId="0" shapeId="0" xr:uid="{CF9890AF-AEAF-48F8-8143-95E32A2872EB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5" authorId="0" shapeId="0" xr:uid="{30037173-94A4-476C-98FB-3C945BE93C27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A17" authorId="0" shapeId="0" xr:uid="{E3A94C8E-EBEB-461E-8088-DDDA1C3446E3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Varies depending on type of project and location</t>
        </r>
      </text>
    </comment>
    <comment ref="G17" authorId="0" shapeId="0" xr:uid="{ACE1FE61-CA00-402B-9732-E2F94816564E}">
      <text>
        <r>
          <rPr>
            <b/>
            <sz val="9"/>
            <color indexed="81"/>
            <rFont val="Tahoma"/>
            <family val="2"/>
          </rPr>
          <t xml:space="preserve">MWRDGC:
</t>
        </r>
        <r>
          <rPr>
            <sz val="9"/>
            <color indexed="81"/>
            <rFont val="Tahoma"/>
            <family val="2"/>
          </rPr>
          <t>Established at project selection, based off cost estimate provided in full application</t>
        </r>
      </text>
    </comment>
    <comment ref="D24" authorId="0" shapeId="0" xr:uid="{CC97C9CE-E9B1-4A3E-AB92-DDB99A07690E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24" authorId="0" shapeId="0" xr:uid="{44B4ED67-9DD1-46FE-A56B-EE3AE05F281A}">
      <text>
        <r>
          <rPr>
            <sz val="10"/>
            <rFont val="Arial"/>
          </rPr>
          <t>MWRDGC:
See explanation listed in the Notes, above.</t>
        </r>
      </text>
    </comment>
    <comment ref="D47" authorId="0" shapeId="0" xr:uid="{FAB7C539-19CA-4C71-A827-C0B3E82EF9DD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7" authorId="0" shapeId="0" xr:uid="{085A228D-DC45-46B6-A0AA-8A77C8A9F2F1}">
      <text>
        <r>
          <rPr>
            <sz val="10"/>
            <rFont val="Arial"/>
          </rPr>
          <t>MWRDGC:
See explanation listed in the Notes, above.</t>
        </r>
      </text>
    </comment>
    <comment ref="D70" authorId="0" shapeId="0" xr:uid="{22EC998C-324B-4DEA-B041-61B8C8EC172A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70" authorId="0" shapeId="0" xr:uid="{B3C7830E-C7B4-4406-A87C-147056C69735}">
      <text>
        <r>
          <rPr>
            <sz val="10"/>
            <rFont val="Arial"/>
          </rPr>
          <t>MWRDGC:
See explanation listed in the Notes, above.</t>
        </r>
      </text>
    </comment>
    <comment ref="D93" authorId="0" shapeId="0" xr:uid="{8F4C32B0-1A79-42E6-81B2-2C124AD0A8B6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3" authorId="0" shapeId="0" xr:uid="{29D6BCEF-2C9A-4161-AA04-12194D2205D4}">
      <text>
        <r>
          <rPr>
            <sz val="10"/>
            <rFont val="Arial"/>
          </rPr>
          <t>MWRDGC:
See explanation listed in the Notes, above.</t>
        </r>
      </text>
    </comment>
    <comment ref="D116" authorId="0" shapeId="0" xr:uid="{3B01FD98-90E6-4FEC-AE58-E592DC72F45C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6" authorId="0" shapeId="0" xr:uid="{3FA71150-E821-48E3-9728-AB4B15D0FF1E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D23" authorId="0" shapeId="0" xr:uid="{B8877BD1-0EA8-436D-AD4C-B0DD57266F77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23" authorId="0" shapeId="0" xr:uid="{DE1958FC-F22C-415A-B131-B48085E543A5}">
      <text>
        <r>
          <rPr>
            <sz val="10"/>
            <rFont val="Arial"/>
          </rPr>
          <t>MWRDGC:
See explanation listed in the Notes, above.</t>
        </r>
      </text>
    </comment>
    <comment ref="D46" authorId="0" shapeId="0" xr:uid="{04828A01-2707-4982-86A3-9B78C8283923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6" authorId="0" shapeId="0" xr:uid="{8EA9A5A4-7CD5-4987-84AF-2B8F42ACF8D1}">
      <text>
        <r>
          <rPr>
            <sz val="10"/>
            <rFont val="Arial"/>
          </rPr>
          <t>MWRDGC:
See explanation listed in the Notes, above.</t>
        </r>
      </text>
    </comment>
    <comment ref="D69" authorId="0" shapeId="0" xr:uid="{6F694AC9-E69F-4659-AB5A-DA339115FFF0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69" authorId="0" shapeId="0" xr:uid="{F246D524-0865-4426-AD8F-383199D5F114}">
      <text>
        <r>
          <rPr>
            <sz val="10"/>
            <rFont val="Arial"/>
          </rPr>
          <t>MWRDGC:
See explanation listed in the Notes, above.</t>
        </r>
      </text>
    </comment>
    <comment ref="D92" authorId="0" shapeId="0" xr:uid="{F17D7B0E-68A1-4686-BF46-A31395E05D36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2" authorId="0" shapeId="0" xr:uid="{E443B982-1A38-47FA-9399-5AD0340430C3}">
      <text>
        <r>
          <rPr>
            <sz val="10"/>
            <rFont val="Arial"/>
          </rPr>
          <t>MWRDGC:
See explanation listed in the Notes, above.</t>
        </r>
      </text>
    </comment>
    <comment ref="D115" authorId="0" shapeId="0" xr:uid="{14D18C82-AEDB-40EE-BF22-AF5586D4AAF1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5" authorId="0" shapeId="0" xr:uid="{5FAD55FF-EEDC-4AFE-BFB7-7DDCC1C8E75B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Gelder, Moriah</author>
  </authors>
  <commentList>
    <comment ref="D24" authorId="0" shapeId="0" xr:uid="{068F4275-6D5B-4459-9E09-DD86D5B074DC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24" authorId="0" shapeId="0" xr:uid="{75CC209E-9267-4DC9-A039-001FB1FA705D}">
      <text>
        <r>
          <rPr>
            <sz val="10"/>
            <rFont val="Arial"/>
          </rPr>
          <t>MWRDGC:
See explanation listed in the Notes, above.</t>
        </r>
      </text>
    </comment>
    <comment ref="D47" authorId="0" shapeId="0" xr:uid="{03F18BC8-4836-42D3-97EA-D7141D454445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47" authorId="0" shapeId="0" xr:uid="{6B8672B2-F2FD-43BD-B30F-975E64F74280}">
      <text>
        <r>
          <rPr>
            <sz val="10"/>
            <rFont val="Arial"/>
          </rPr>
          <t>MWRDGC:
See explanation listed in the Notes, above.</t>
        </r>
      </text>
    </comment>
    <comment ref="D70" authorId="0" shapeId="0" xr:uid="{D9230519-BE57-4687-9DAE-24CE1904762A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70" authorId="0" shapeId="0" xr:uid="{88EFD74E-85AF-425C-AC07-F240558E8E20}">
      <text>
        <r>
          <rPr>
            <sz val="10"/>
            <rFont val="Arial"/>
          </rPr>
          <t>MWRDGC:
See explanation listed in the Notes, above.</t>
        </r>
      </text>
    </comment>
    <comment ref="D93" authorId="0" shapeId="0" xr:uid="{45F4F2C9-2F66-4C11-ACAB-9ADC2D53A4D4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93" authorId="0" shapeId="0" xr:uid="{4A2AE1FA-FCE4-45AE-AC6F-019C8BBE9458}">
      <text>
        <r>
          <rPr>
            <sz val="10"/>
            <rFont val="Arial"/>
          </rPr>
          <t>MWRDGC:
See explanation listed in the Notes, above.</t>
        </r>
      </text>
    </comment>
    <comment ref="D116" authorId="0" shapeId="0" xr:uid="{67EE9A11-BA6A-4CDC-8460-01407FBED034}">
      <text>
        <r>
          <rPr>
            <sz val="10"/>
            <rFont val="Arial"/>
          </rPr>
          <t>MWRDGC:
See standard assumptions in top right of this sheet to help fill this in.</t>
        </r>
      </text>
    </comment>
    <comment ref="E116" authorId="0" shapeId="0" xr:uid="{26ACF70D-FFFF-4055-88B0-9613F322EAEE}">
      <text>
        <r>
          <rPr>
            <sz val="10"/>
            <rFont val="Arial"/>
          </rPr>
          <t>MWRDGC:
See explanation listed in the Notes, above.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<sst xmlns="http://schemas.openxmlformats.org/spreadsheetml/2006/main" count="1852" uniqueCount="145">
  <si>
    <t>MWRDGC</t>
  </si>
  <si>
    <t>Key:</t>
  </si>
  <si>
    <t>Notes:</t>
  </si>
  <si>
    <t>Stormwater Design Retention Capacity (DRC) Calculations</t>
  </si>
  <si>
    <t>user input</t>
  </si>
  <si>
    <r>
      <rPr>
        <b/>
        <sz val="9"/>
        <rFont val="Arial"/>
        <family val="2"/>
      </rPr>
      <t>1.</t>
    </r>
    <r>
      <rPr>
        <sz val="9"/>
        <rFont val="Arial"/>
      </rPr>
      <t xml:space="preserve"> For questions, please contact MWRD Engineer at GelderM@mwrd.org
</t>
    </r>
    <r>
      <rPr>
        <b/>
        <sz val="9"/>
        <rFont val="Arial"/>
        <family val="2"/>
      </rPr>
      <t>2.</t>
    </r>
    <r>
      <rPr>
        <sz val="9"/>
        <rFont val="Arial"/>
      </rPr>
      <t xml:space="preserve"> How "Volume Factor" is assigned for each layer:
- If below the invert of a pipe draining the area/underdrain, it is counted at 100%
- If no pipe/underdrain in your GI installation, all volume can be considered "below invert" and counted at 100%
- If above the invert, it is counted at 50%
- For bioretention areas with depressions for ponding, ponding layer is always counted at 100% (with or without an underdrain)
</t>
    </r>
    <r>
      <rPr>
        <b/>
        <sz val="9"/>
        <rFont val="Arial"/>
        <family val="2"/>
      </rPr>
      <t>3.</t>
    </r>
    <r>
      <rPr>
        <sz val="9"/>
        <rFont val="Arial"/>
      </rPr>
      <t xml:space="preserve"> Please reference all user-input data using Notes, Reference Column
</t>
    </r>
    <r>
      <rPr>
        <b/>
        <sz val="9"/>
        <rFont val="Arial"/>
        <family val="2"/>
      </rPr>
      <t>4.</t>
    </r>
    <r>
      <rPr>
        <sz val="9"/>
        <rFont val="Arial"/>
      </rPr>
      <t xml:space="preserve"> 6-hr infiltrated volume (cf) = infiltration rate (in/hr) * surface area (sf) * 6[hrs]/12[in/ft]. Maximum infiltration rate to be used in this calculation is 3.6 in/hr.
</t>
    </r>
    <r>
      <rPr>
        <b/>
        <sz val="9"/>
        <rFont val="Arial"/>
        <family val="2"/>
      </rPr>
      <t>5.</t>
    </r>
    <r>
      <rPr>
        <sz val="9"/>
        <rFont val="Arial"/>
      </rPr>
      <t xml:space="preserve"> Add more Layer rows or Retention Areas as necessary, making sure the Total DRC is calculating correctly.</t>
    </r>
  </si>
  <si>
    <t>For Green Infrastructure (GI)</t>
  </si>
  <si>
    <t>calculated</t>
  </si>
  <si>
    <t>Standard Assumptions:</t>
  </si>
  <si>
    <t>Media</t>
  </si>
  <si>
    <t>Porosity</t>
  </si>
  <si>
    <t>Project Name:</t>
  </si>
  <si>
    <t>CA-1</t>
  </si>
  <si>
    <t>Project / IGA Number:</t>
  </si>
  <si>
    <t>CA-7</t>
  </si>
  <si>
    <t>Design Stage:</t>
  </si>
  <si>
    <t xml:space="preserve">   </t>
  </si>
  <si>
    <t>CA-16/ASTM 8</t>
  </si>
  <si>
    <t>Total Constructed Volume:</t>
  </si>
  <si>
    <t>gallons</t>
  </si>
  <si>
    <t>Runoff Volume Check:</t>
  </si>
  <si>
    <t>FA-1</t>
  </si>
  <si>
    <t>Total Infiltration Volume:</t>
  </si>
  <si>
    <t>Engineered Soil</t>
  </si>
  <si>
    <t>Design DRC:</t>
  </si>
  <si>
    <r>
      <t xml:space="preserve">Design DRC </t>
    </r>
    <r>
      <rPr>
        <b/>
        <sz val="8"/>
        <rFont val="Arial"/>
        <family val="2"/>
      </rPr>
      <t>(Capped)</t>
    </r>
    <r>
      <rPr>
        <b/>
        <sz val="11"/>
        <rFont val="Arial"/>
        <family val="2"/>
      </rPr>
      <t>:</t>
    </r>
  </si>
  <si>
    <r>
      <t xml:space="preserve">Infiltration Volume </t>
    </r>
    <r>
      <rPr>
        <sz val="8"/>
        <rFont val="Arial"/>
        <family val="2"/>
      </rPr>
      <t>(Capped)</t>
    </r>
    <r>
      <rPr>
        <sz val="10"/>
        <rFont val="Arial"/>
        <family val="2"/>
      </rPr>
      <t>:</t>
    </r>
  </si>
  <si>
    <t>Reimbursement Rates:</t>
  </si>
  <si>
    <t>per gallon (Constructed)</t>
  </si>
  <si>
    <t>per gallon (Infiltration)</t>
  </si>
  <si>
    <t>Calculated MWRD Contribution:</t>
  </si>
  <si>
    <t>Construction Cost Estimate:</t>
  </si>
  <si>
    <t>MWRD Max. Cost Share:</t>
  </si>
  <si>
    <t>%</t>
  </si>
  <si>
    <t>MWRD Max. Contribution:</t>
  </si>
  <si>
    <t>TBD</t>
  </si>
  <si>
    <t>Resulting Potential MWRD Contribution:</t>
  </si>
  <si>
    <t>Engineer's Signature 
(Final Design only):</t>
  </si>
  <si>
    <t>IL PE License No.:</t>
  </si>
  <si>
    <t>Retention Area #1 (____________________________)</t>
  </si>
  <si>
    <t>Insert image of typical section here:</t>
  </si>
  <si>
    <t>Stone, Soil, Ponding Layers Volume ("Constructed Volume")</t>
  </si>
  <si>
    <t>Layer #</t>
  </si>
  <si>
    <t>Layer Description (Aggregate Size, Soil, Ponding)</t>
  </si>
  <si>
    <t>Location relative to underdrain</t>
  </si>
  <si>
    <t>Volume Factor</t>
  </si>
  <si>
    <t>Depth (ft)</t>
  </si>
  <si>
    <t>Length (ft)</t>
  </si>
  <si>
    <t>Width (ft)</t>
  </si>
  <si>
    <t>Surface Area (sf)</t>
  </si>
  <si>
    <t>Layer Volume (cf)</t>
  </si>
  <si>
    <t>Notes, References</t>
  </si>
  <si>
    <t xml:space="preserve"> </t>
  </si>
  <si>
    <t>Subtotal Constructed Volume (cf)</t>
  </si>
  <si>
    <t>Subtotal Constructed Volume (gallons)</t>
  </si>
  <si>
    <t>Groundwater Check</t>
  </si>
  <si>
    <t>Elevation of bottom of BMP (the infiltration surface) (ft)</t>
  </si>
  <si>
    <t>Groundwater elevation (ft)</t>
  </si>
  <si>
    <t>Depth to seasonal groundwater level (ft)
(Must be 2 feet or greater, or 3.5 feet or greater if draining to combined sewer)</t>
  </si>
  <si>
    <t>Infiltration Volume</t>
  </si>
  <si>
    <t>Vertical infiltration rate of surrounding soil (in/hr)
(preferred to be estimated/measured at the lowest excavation elevation)</t>
  </si>
  <si>
    <t>Infiltration rate to be used for calculation (in/hr)</t>
  </si>
  <si>
    <t>Surface Area across which infiltration occurs (sf)</t>
  </si>
  <si>
    <t>6-hr infiltrated volume (cf)</t>
  </si>
  <si>
    <t>Infiltration Volume (gallons)</t>
  </si>
  <si>
    <t>Retention Area #2 (____________________________)</t>
  </si>
  <si>
    <t>Retention Area #3 (____________________________)</t>
  </si>
  <si>
    <t>Retention Area #4 (____________________________)</t>
  </si>
  <si>
    <t>Retention Area #5 (____________________________)</t>
  </si>
  <si>
    <t>Construction Complete</t>
  </si>
  <si>
    <t>Final Constructed DRC:</t>
  </si>
  <si>
    <r>
      <t xml:space="preserve">Constructed DRC </t>
    </r>
    <r>
      <rPr>
        <b/>
        <sz val="8"/>
        <rFont val="Arial"/>
        <family val="2"/>
      </rPr>
      <t>(Capped)</t>
    </r>
    <r>
      <rPr>
        <b/>
        <sz val="11"/>
        <rFont val="Arial"/>
        <family val="2"/>
      </rPr>
      <t>:</t>
    </r>
  </si>
  <si>
    <t>Amount Outside 10% Allowance:</t>
  </si>
  <si>
    <t>Constructed Volume</t>
  </si>
  <si>
    <t>Resulting MWRD Contribution:</t>
  </si>
  <si>
    <t>Engineer's Signature:</t>
  </si>
  <si>
    <t>PROJECT:</t>
  </si>
  <si>
    <t>DESIGN STAGE:</t>
  </si>
  <si>
    <t>ENGINEER'S SIGNATURE</t>
  </si>
  <si>
    <t>IL PE LICENSE NO.:</t>
  </si>
  <si>
    <r>
      <t>COMPOSITE RUNOFF CURVE NUMBER (</t>
    </r>
    <r>
      <rPr>
        <b/>
        <i/>
        <sz val="14"/>
        <color theme="1"/>
        <rFont val="Calibri"/>
        <family val="2"/>
        <scheme val="minor"/>
      </rPr>
      <t>CN</t>
    </r>
    <r>
      <rPr>
        <b/>
        <sz val="14"/>
        <color theme="1"/>
        <rFont val="Calibri"/>
        <family val="2"/>
        <scheme val="minor"/>
      </rPr>
      <t>)</t>
    </r>
  </si>
  <si>
    <t>RUNOFF VOLUME</t>
  </si>
  <si>
    <r>
      <t xml:space="preserve">RUNOFF CURVE NUMBER (LIST ALL SURFACES THAT DRAIN INTO PROPOSED GREEN INFRASTRUCTURE AND </t>
    </r>
    <r>
      <rPr>
        <b/>
        <u/>
        <sz val="10"/>
        <color theme="1"/>
        <rFont val="Calibri"/>
        <family val="2"/>
        <scheme val="minor"/>
      </rPr>
      <t>ATTACH AN EXHIBIT OUTLINING THE AREAS AND SHOWING HOW THEY DRAIN INTO PROPOSED GI</t>
    </r>
    <r>
      <rPr>
        <b/>
        <sz val="10"/>
        <color theme="1"/>
        <rFont val="Calibri"/>
        <family val="2"/>
        <scheme val="minor"/>
      </rPr>
      <t>)</t>
    </r>
  </si>
  <si>
    <t>DEVELOPMENT INFORMTION</t>
  </si>
  <si>
    <t>Surface Description</t>
  </si>
  <si>
    <t>Hydrologic Soil Group
(HSG)</t>
  </si>
  <si>
    <r>
      <t xml:space="preserve">CN 
</t>
    </r>
    <r>
      <rPr>
        <sz val="8"/>
        <color theme="1"/>
        <rFont val="Calibri"/>
        <family val="2"/>
        <scheme val="minor"/>
      </rPr>
      <t>(see options below)</t>
    </r>
  </si>
  <si>
    <t>Area
(acres)</t>
  </si>
  <si>
    <t>Product
(CN)(Area)</t>
  </si>
  <si>
    <t>1.</t>
  </si>
  <si>
    <r>
      <t xml:space="preserve">Area, </t>
    </r>
    <r>
      <rPr>
        <i/>
        <sz val="10"/>
        <color theme="1"/>
        <rFont val="Calibri"/>
        <family val="2"/>
        <scheme val="minor"/>
      </rPr>
      <t>A</t>
    </r>
  </si>
  <si>
    <t>acres</t>
  </si>
  <si>
    <t>2.</t>
  </si>
  <si>
    <r>
      <t>Curve Number,</t>
    </r>
    <r>
      <rPr>
        <i/>
        <sz val="10"/>
        <color theme="1"/>
        <rFont val="Calibri"/>
        <family val="2"/>
        <scheme val="minor"/>
      </rPr>
      <t xml:space="preserve"> CN</t>
    </r>
  </si>
  <si>
    <t>3.</t>
  </si>
  <si>
    <r>
      <t xml:space="preserve">10-year, 24-hr Rainfall Depth, </t>
    </r>
    <r>
      <rPr>
        <i/>
        <sz val="10"/>
        <color theme="1"/>
        <rFont val="Calibri"/>
        <family val="2"/>
        <scheme val="minor"/>
      </rPr>
      <t>P</t>
    </r>
  </si>
  <si>
    <t>inches</t>
  </si>
  <si>
    <t>4.</t>
  </si>
  <si>
    <r>
      <t xml:space="preserve">100-year, 24-hr Rainfall Depth, </t>
    </r>
    <r>
      <rPr>
        <i/>
        <sz val="10"/>
        <color theme="1"/>
        <rFont val="Calibri"/>
        <family val="2"/>
        <scheme val="minor"/>
      </rPr>
      <t>P</t>
    </r>
  </si>
  <si>
    <t>RUNOFF DEPTH (NRCS RUNOFF EQUATIONS)</t>
  </si>
  <si>
    <t>5.</t>
  </si>
  <si>
    <r>
      <t xml:space="preserve">Maximum Retention, </t>
    </r>
    <r>
      <rPr>
        <i/>
        <sz val="10"/>
        <color theme="1"/>
        <rFont val="Calibri"/>
        <family val="2"/>
        <scheme val="minor"/>
      </rPr>
      <t>S</t>
    </r>
  </si>
  <si>
    <t>6.</t>
  </si>
  <si>
    <r>
      <t xml:space="preserve">10-Year Runoff Depth, </t>
    </r>
    <r>
      <rPr>
        <i/>
        <sz val="10"/>
        <color theme="1"/>
        <rFont val="Calibri"/>
        <family val="2"/>
        <scheme val="minor"/>
      </rPr>
      <t>Q</t>
    </r>
    <r>
      <rPr>
        <i/>
        <vertAlign val="subscript"/>
        <sz val="10"/>
        <color theme="1"/>
        <rFont val="Calibri"/>
        <family val="2"/>
        <scheme val="minor"/>
      </rPr>
      <t>D</t>
    </r>
    <r>
      <rPr>
        <sz val="10"/>
        <color theme="1"/>
        <rFont val="Calibri"/>
        <family val="2"/>
        <scheme val="minor"/>
      </rPr>
      <t>10</t>
    </r>
  </si>
  <si>
    <r>
      <t xml:space="preserve">100-Year Runoff Depth, </t>
    </r>
    <r>
      <rPr>
        <i/>
        <sz val="10"/>
        <color theme="1"/>
        <rFont val="Calibri"/>
        <family val="2"/>
        <scheme val="minor"/>
      </rPr>
      <t>Q</t>
    </r>
    <r>
      <rPr>
        <i/>
        <vertAlign val="subscript"/>
        <sz val="10"/>
        <color theme="1"/>
        <rFont val="Calibri"/>
        <family val="2"/>
        <scheme val="minor"/>
      </rPr>
      <t>D</t>
    </r>
    <r>
      <rPr>
        <sz val="10"/>
        <color theme="1"/>
        <rFont val="Calibri"/>
        <family val="2"/>
        <scheme val="minor"/>
      </rPr>
      <t>100</t>
    </r>
  </si>
  <si>
    <t>TOTALS:</t>
  </si>
  <si>
    <t>COMPOSITE RUNOFF CURVE NUMBER</t>
  </si>
  <si>
    <t>7.</t>
  </si>
  <si>
    <r>
      <rPr>
        <b/>
        <sz val="10"/>
        <color theme="1"/>
        <rFont val="Calibri"/>
        <family val="2"/>
        <scheme val="minor"/>
      </rPr>
      <t>10-Year</t>
    </r>
    <r>
      <rPr>
        <sz val="10"/>
        <color theme="1"/>
        <rFont val="Calibri"/>
        <family val="2"/>
        <scheme val="minor"/>
      </rPr>
      <t xml:space="preserve"> Runoff Volume, </t>
    </r>
    <r>
      <rPr>
        <i/>
        <sz val="10"/>
        <color theme="1"/>
        <rFont val="Calibri"/>
        <family val="2"/>
        <scheme val="minor"/>
      </rPr>
      <t>V</t>
    </r>
    <r>
      <rPr>
        <i/>
        <vertAlign val="subscript"/>
        <sz val="10"/>
        <color theme="1"/>
        <rFont val="Calibri"/>
        <family val="2"/>
        <scheme val="minor"/>
      </rPr>
      <t>R</t>
    </r>
    <r>
      <rPr>
        <sz val="10"/>
        <color theme="1"/>
        <rFont val="Calibri"/>
        <family val="2"/>
        <scheme val="minor"/>
      </rPr>
      <t>10</t>
    </r>
  </si>
  <si>
    <t>ac-ft</t>
  </si>
  <si>
    <t>Composite CN</t>
  </si>
  <si>
    <t>=</t>
  </si>
  <si>
    <t>Total Product</t>
  </si>
  <si>
    <t>→</t>
  </si>
  <si>
    <t>cf</t>
  </si>
  <si>
    <t>Total Area</t>
  </si>
  <si>
    <r>
      <rPr>
        <b/>
        <sz val="10"/>
        <color theme="1"/>
        <rFont val="Calibri"/>
        <family val="2"/>
        <scheme val="minor"/>
      </rPr>
      <t>100-Year</t>
    </r>
    <r>
      <rPr>
        <sz val="10"/>
        <color theme="1"/>
        <rFont val="Calibri"/>
        <family val="2"/>
        <scheme val="minor"/>
      </rPr>
      <t xml:space="preserve"> Runoff Volume, </t>
    </r>
    <r>
      <rPr>
        <i/>
        <sz val="10"/>
        <color theme="1"/>
        <rFont val="Calibri"/>
        <family val="2"/>
        <scheme val="minor"/>
      </rPr>
      <t>V</t>
    </r>
    <r>
      <rPr>
        <i/>
        <vertAlign val="subscript"/>
        <sz val="10"/>
        <color theme="1"/>
        <rFont val="Calibri"/>
        <family val="2"/>
        <scheme val="minor"/>
      </rPr>
      <t>R</t>
    </r>
    <r>
      <rPr>
        <i/>
        <sz val="10"/>
        <color theme="1"/>
        <rFont val="Calibri"/>
        <family val="2"/>
        <scheme val="minor"/>
      </rPr>
      <t>100</t>
    </r>
  </si>
  <si>
    <t>Green Alley &amp; Bioretention in Gotham</t>
  </si>
  <si>
    <t>24-IGA-00</t>
  </si>
  <si>
    <t>Retention Area #1 (Green Alley)</t>
  </si>
  <si>
    <t>bedding course, CA-16</t>
  </si>
  <si>
    <t>below invert</t>
  </si>
  <si>
    <t>alley length of 800' (sheet 4); 4' width beneath pavers; 12' width for full alley (see typ. section, sheet 3)</t>
  </si>
  <si>
    <t>aggregate base, CA-7</t>
  </si>
  <si>
    <t>full alley width, CA-7</t>
  </si>
  <si>
    <t>aggregate, CA-1</t>
  </si>
  <si>
    <t>sheet 2</t>
  </si>
  <si>
    <t>see geotech report</t>
  </si>
  <si>
    <t>same as the CA-1 layer in this case</t>
  </si>
  <si>
    <t>Retention Area #2 (Bioretention)</t>
  </si>
  <si>
    <t>ponding</t>
  </si>
  <si>
    <t>bioretention length of 20' and top width of 10' (sheet 6); adjusted surface area for ponding due to the sloped sides (optional to adjust equation to add in the extra triangles of soil); aggregate above invert varies, see sheets 6-8</t>
  </si>
  <si>
    <t>soil media mix</t>
  </si>
  <si>
    <t>above invert</t>
  </si>
  <si>
    <t>aggregate storage bed, CA-7</t>
  </si>
  <si>
    <t>same as the CA-7 layer in this case</t>
  </si>
  <si>
    <t>COULD NOT BUILD DUE TO UNFORESEEN CIRCUMSTANCES DURING CONSTRUCTION</t>
  </si>
  <si>
    <t>roof</t>
  </si>
  <si>
    <t>D</t>
  </si>
  <si>
    <t>backyards</t>
  </si>
  <si>
    <t>roadway</t>
  </si>
  <si>
    <t>(GI costs only)</t>
  </si>
  <si>
    <t>Final GI Construction Cost:</t>
  </si>
  <si>
    <t>FINAL Design</t>
  </si>
  <si>
    <t>(non-final)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</si>
</sst>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0.000"/>
    <numFmt numFmtId="166" formatCode="0.0"/>
    <numFmt numFmtId="167" formatCode="_(* #,##0_);_(* \(#,##0\);_(* &quot;-&quot;??_);_(@_)"/>
    <numFmt numFmtId="168" formatCode="_([$$-409]* #,##0.00_);_([$$-409]* \(#,##0.00\);_([$$-409]* &quot;-&quot;??_);_(@_)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</font>
    <font>
      <sz val="9"/>
      <name val="Arial"/>
    </font>
    <font>
      <sz val="11"/>
      <name val="Arial"/>
    </font>
    <font>
      <b/>
      <sz val="11"/>
      <name val="Arial"/>
      <family val="2"/>
    </font>
    <font>
      <b/>
      <sz val="11"/>
      <name val="Arial"/>
    </font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b/>
      <strike/>
      <sz val="11"/>
      <name val="Arial"/>
      <family val="2"/>
    </font>
    <font>
      <b/>
      <sz val="10"/>
      <color rgb="FFFF0000"/>
      <name val="Arial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i/>
      <sz val="10"/>
      <color theme="1"/>
      <name val="Calibri"/>
      <family val="2"/>
      <scheme val="minor"/>
    </font>
    <font>
      <i/>
      <vertAlign val="subscript"/>
      <sz val="10"/>
      <color theme="1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u/>
      <sz val="11"/>
      <name val="Arial"/>
      <family val="2"/>
    </font>
    <font>
      <b/>
      <u/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u/>
      <sz val="9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0"/>
      <color indexed="8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2CC"/>
        <bgColor rgb="FF000000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Dashed">
        <color rgb="FFFF0000"/>
      </left>
      <right/>
      <top style="mediumDashed">
        <color rgb="FFFF0000"/>
      </top>
      <bottom/>
      <diagonal/>
    </border>
    <border>
      <left/>
      <right/>
      <top style="mediumDashed">
        <color rgb="FFFF0000"/>
      </top>
      <bottom/>
      <diagonal/>
    </border>
    <border>
      <left/>
      <right style="mediumDashed">
        <color rgb="FFFF0000"/>
      </right>
      <top style="mediumDashed">
        <color rgb="FFFF0000"/>
      </top>
      <bottom/>
      <diagonal/>
    </border>
    <border>
      <left style="mediumDashed">
        <color rgb="FFFF0000"/>
      </left>
      <right/>
      <top/>
      <bottom/>
      <diagonal/>
    </border>
    <border>
      <left/>
      <right style="mediumDashed">
        <color rgb="FFFF0000"/>
      </right>
      <top/>
      <bottom/>
      <diagonal/>
    </border>
    <border>
      <left style="mediumDashed">
        <color rgb="FFFF0000"/>
      </left>
      <right/>
      <top/>
      <bottom style="mediumDashed">
        <color rgb="FFFF0000"/>
      </bottom>
      <diagonal/>
    </border>
    <border>
      <left/>
      <right/>
      <top/>
      <bottom style="mediumDashed">
        <color rgb="FFFF0000"/>
      </bottom>
      <diagonal/>
    </border>
    <border>
      <left/>
      <right style="mediumDashed">
        <color rgb="FFFF0000"/>
      </right>
      <top/>
      <bottom style="mediumDashed">
        <color rgb="FFFF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/>
    <xf numFmtId="0" fontId="7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" fillId="0" borderId="0"/>
    <xf numFmtId="9" fontId="13" fillId="0" borderId="0" applyFont="0" applyFill="0" applyBorder="0" applyAlignment="0" applyProtection="0"/>
  </cellStyleXfs>
  <cellXfs count="206">
    <xf numFmtId="0" fontId="0" fillId="0" borderId="0" xfId="0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4" fillId="0" borderId="0" xfId="0" applyFont="1"/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1" applyAlignment="1">
      <alignment horizontal="left"/>
    </xf>
    <xf numFmtId="0" fontId="8" fillId="0" borderId="0" xfId="0" applyFont="1" applyAlignment="1">
      <alignment wrapText="1"/>
    </xf>
    <xf numFmtId="0" fontId="0" fillId="3" borderId="0" xfId="0" applyFill="1"/>
    <xf numFmtId="165" fontId="0" fillId="3" borderId="0" xfId="0" applyNumberFormat="1" applyFill="1"/>
    <xf numFmtId="0" fontId="0" fillId="4" borderId="0" xfId="0" applyFill="1"/>
    <xf numFmtId="43" fontId="0" fillId="4" borderId="0" xfId="0" applyNumberFormat="1" applyFill="1"/>
    <xf numFmtId="0" fontId="8" fillId="0" borderId="0" xfId="0" applyFont="1"/>
    <xf numFmtId="0" fontId="0" fillId="3" borderId="0" xfId="0" quotePrefix="1" applyFill="1"/>
    <xf numFmtId="43" fontId="8" fillId="4" borderId="0" xfId="0" applyNumberFormat="1" applyFont="1" applyFill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 wrapText="1"/>
    </xf>
    <xf numFmtId="0" fontId="0" fillId="0" borderId="0" xfId="0" applyAlignment="1">
      <alignment vertical="top"/>
    </xf>
    <xf numFmtId="0" fontId="0" fillId="3" borderId="0" xfId="0" applyFill="1" applyAlignment="1">
      <alignment vertical="center"/>
    </xf>
    <xf numFmtId="4" fontId="0" fillId="3" borderId="0" xfId="0" applyNumberFormat="1" applyFill="1" applyAlignment="1">
      <alignment horizontal="left"/>
    </xf>
    <xf numFmtId="164" fontId="0" fillId="4" borderId="0" xfId="0" applyNumberFormat="1" applyFill="1" applyAlignment="1">
      <alignment horizontal="left"/>
    </xf>
    <xf numFmtId="2" fontId="0" fillId="3" borderId="0" xfId="0" applyNumberFormat="1" applyFill="1"/>
    <xf numFmtId="9" fontId="0" fillId="4" borderId="0" xfId="0" applyNumberFormat="1" applyFill="1"/>
    <xf numFmtId="9" fontId="10" fillId="3" borderId="1" xfId="0" quotePrefix="1" applyNumberFormat="1" applyFont="1" applyFill="1" applyBorder="1" applyAlignment="1">
      <alignment horizontal="left"/>
    </xf>
    <xf numFmtId="0" fontId="10" fillId="0" borderId="0" xfId="0" applyFont="1"/>
    <xf numFmtId="167" fontId="10" fillId="4" borderId="1" xfId="0" applyNumberFormat="1" applyFont="1" applyFill="1" applyBorder="1" applyAlignment="1">
      <alignment horizontal="left"/>
    </xf>
    <xf numFmtId="0" fontId="10" fillId="0" borderId="1" xfId="0" applyFont="1" applyBorder="1" applyAlignment="1">
      <alignment horizontal="left"/>
    </xf>
    <xf numFmtId="167" fontId="12" fillId="4" borderId="1" xfId="0" applyNumberFormat="1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/>
    <xf numFmtId="2" fontId="0" fillId="3" borderId="0" xfId="0" applyNumberFormat="1" applyFill="1" applyAlignment="1">
      <alignment horizontal="right" vertical="center"/>
    </xf>
    <xf numFmtId="43" fontId="0" fillId="4" borderId="0" xfId="3" applyFont="1" applyFill="1" applyAlignment="1">
      <alignment horizontal="right" vertical="center"/>
    </xf>
    <xf numFmtId="43" fontId="0" fillId="4" borderId="0" xfId="0" applyNumberFormat="1" applyFill="1" applyAlignment="1">
      <alignment horizontal="right"/>
    </xf>
    <xf numFmtId="43" fontId="8" fillId="4" borderId="0" xfId="0" applyNumberFormat="1" applyFont="1" applyFill="1" applyAlignment="1">
      <alignment horizontal="right"/>
    </xf>
    <xf numFmtId="166" fontId="0" fillId="3" borderId="0" xfId="0" applyNumberFormat="1" applyFill="1" applyAlignment="1">
      <alignment horizontal="right" vertical="center"/>
    </xf>
    <xf numFmtId="168" fontId="10" fillId="0" borderId="1" xfId="0" applyNumberFormat="1" applyFont="1" applyBorder="1" applyAlignment="1">
      <alignment horizontal="left"/>
    </xf>
    <xf numFmtId="0" fontId="16" fillId="0" borderId="0" xfId="0" applyFont="1"/>
    <xf numFmtId="0" fontId="17" fillId="0" borderId="0" xfId="0" applyFont="1"/>
    <xf numFmtId="0" fontId="20" fillId="0" borderId="0" xfId="5" applyFont="1" applyAlignment="1">
      <alignment vertical="center"/>
    </xf>
    <xf numFmtId="0" fontId="20" fillId="0" borderId="0" xfId="5" applyFont="1" applyAlignment="1">
      <alignment horizontal="left" vertical="center"/>
    </xf>
    <xf numFmtId="0" fontId="21" fillId="0" borderId="0" xfId="5" applyFont="1" applyAlignment="1">
      <alignment horizontal="left" vertical="center"/>
    </xf>
    <xf numFmtId="0" fontId="1" fillId="0" borderId="0" xfId="5"/>
    <xf numFmtId="0" fontId="10" fillId="0" borderId="26" xfId="0" applyFont="1" applyBorder="1"/>
    <xf numFmtId="167" fontId="0" fillId="0" borderId="0" xfId="0" applyNumberFormat="1"/>
    <xf numFmtId="38" fontId="10" fillId="4" borderId="1" xfId="0" applyNumberFormat="1" applyFont="1" applyFill="1" applyBorder="1" applyAlignment="1">
      <alignment horizontal="right"/>
    </xf>
    <xf numFmtId="0" fontId="9" fillId="0" borderId="0" xfId="0" applyFont="1" applyAlignment="1">
      <alignment vertical="top" wrapText="1"/>
    </xf>
    <xf numFmtId="0" fontId="26" fillId="0" borderId="0" xfId="0" applyFont="1"/>
    <xf numFmtId="0" fontId="28" fillId="0" borderId="27" xfId="0" applyFont="1" applyBorder="1"/>
    <xf numFmtId="0" fontId="26" fillId="0" borderId="28" xfId="0" applyFont="1" applyBorder="1" applyAlignment="1">
      <alignment wrapText="1"/>
    </xf>
    <xf numFmtId="0" fontId="26" fillId="0" borderId="29" xfId="0" applyFont="1" applyBorder="1" applyAlignment="1">
      <alignment wrapText="1"/>
    </xf>
    <xf numFmtId="167" fontId="26" fillId="4" borderId="1" xfId="0" applyNumberFormat="1" applyFont="1" applyFill="1" applyBorder="1" applyAlignment="1">
      <alignment horizontal="left"/>
    </xf>
    <xf numFmtId="0" fontId="12" fillId="0" borderId="26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9" fontId="10" fillId="0" borderId="1" xfId="6" applyFont="1" applyBorder="1" applyAlignment="1">
      <alignment horizontal="right"/>
    </xf>
    <xf numFmtId="167" fontId="10" fillId="4" borderId="26" xfId="0" applyNumberFormat="1" applyFont="1" applyFill="1" applyBorder="1" applyAlignment="1">
      <alignment horizontal="left"/>
    </xf>
    <xf numFmtId="0" fontId="26" fillId="0" borderId="0" xfId="0" applyFont="1" applyAlignment="1">
      <alignment wrapText="1"/>
    </xf>
    <xf numFmtId="168" fontId="10" fillId="6" borderId="1" xfId="0" applyNumberFormat="1" applyFont="1" applyFill="1" applyBorder="1" applyAlignment="1">
      <alignment horizontal="left"/>
    </xf>
    <xf numFmtId="9" fontId="26" fillId="6" borderId="0" xfId="0" applyNumberFormat="1" applyFont="1" applyFill="1"/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10" fillId="3" borderId="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6" fillId="0" borderId="0" xfId="0" applyFont="1" applyAlignment="1">
      <alignment horizontal="left"/>
    </xf>
    <xf numFmtId="0" fontId="15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0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0" fillId="0" borderId="0" xfId="5" applyFont="1" applyAlignment="1">
      <alignment horizontal="center" vertical="center"/>
    </xf>
    <xf numFmtId="49" fontId="20" fillId="0" borderId="0" xfId="5" applyNumberFormat="1" applyFont="1" applyAlignment="1">
      <alignment horizontal="left" vertical="center"/>
    </xf>
    <xf numFmtId="49" fontId="20" fillId="0" borderId="0" xfId="5" applyNumberFormat="1" applyFont="1" applyAlignment="1">
      <alignment horizontal="center" vertical="center"/>
    </xf>
    <xf numFmtId="0" fontId="26" fillId="8" borderId="1" xfId="0" applyFont="1" applyFill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0" fillId="0" borderId="0" xfId="0" applyAlignment="1">
      <alignment horizontal="right" wrapText="1"/>
    </xf>
    <xf numFmtId="0" fontId="0" fillId="2" borderId="0" xfId="0" applyFill="1" applyAlignment="1">
      <alignment horizontal="center"/>
    </xf>
    <xf numFmtId="0" fontId="0" fillId="3" borderId="4" xfId="0" applyFill="1" applyBorder="1" applyAlignment="1">
      <alignment horizontal="left"/>
    </xf>
    <xf numFmtId="2" fontId="0" fillId="3" borderId="0" xfId="0" applyNumberFormat="1" applyFill="1" applyAlignment="1">
      <alignment horizontal="left" vertical="top" wrapText="1"/>
    </xf>
    <xf numFmtId="0" fontId="0" fillId="3" borderId="0" xfId="0" applyFill="1" applyAlignment="1">
      <alignment horizontal="left"/>
    </xf>
    <xf numFmtId="0" fontId="0" fillId="0" borderId="0" xfId="0" applyAlignment="1">
      <alignment horizontal="right"/>
    </xf>
    <xf numFmtId="0" fontId="8" fillId="0" borderId="0" xfId="0" applyFont="1" applyAlignment="1">
      <alignment horizontal="left" wrapText="1"/>
    </xf>
    <xf numFmtId="0" fontId="10" fillId="3" borderId="1" xfId="0" applyFont="1" applyFill="1" applyBorder="1" applyAlignment="1">
      <alignment horizontal="left"/>
    </xf>
    <xf numFmtId="168" fontId="11" fillId="4" borderId="26" xfId="0" applyNumberFormat="1" applyFont="1" applyFill="1" applyBorder="1" applyAlignment="1">
      <alignment horizontal="center"/>
    </xf>
    <xf numFmtId="168" fontId="11" fillId="4" borderId="4" xfId="0" applyNumberFormat="1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2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wrapText="1"/>
    </xf>
    <xf numFmtId="0" fontId="26" fillId="0" borderId="0" xfId="0" applyFont="1" applyAlignment="1">
      <alignment horizontal="left" vertical="center"/>
    </xf>
    <xf numFmtId="168" fontId="26" fillId="0" borderId="4" xfId="0" applyNumberFormat="1" applyFont="1" applyBorder="1" applyAlignment="1">
      <alignment horizontal="center"/>
    </xf>
    <xf numFmtId="168" fontId="10" fillId="3" borderId="35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15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0" fillId="0" borderId="0" xfId="0" applyFont="1" applyAlignment="1">
      <alignment horizontal="left"/>
    </xf>
    <xf numFmtId="0" fontId="26" fillId="7" borderId="30" xfId="0" applyFont="1" applyFill="1" applyBorder="1" applyAlignment="1">
      <alignment horizontal="left" wrapText="1"/>
    </xf>
    <xf numFmtId="0" fontId="26" fillId="7" borderId="0" xfId="0" applyFont="1" applyFill="1" applyAlignment="1">
      <alignment horizontal="left" wrapText="1"/>
    </xf>
    <xf numFmtId="0" fontId="26" fillId="7" borderId="31" xfId="0" applyFont="1" applyFill="1" applyBorder="1" applyAlignment="1">
      <alignment horizontal="left" wrapText="1"/>
    </xf>
    <xf numFmtId="0" fontId="26" fillId="7" borderId="32" xfId="0" applyFont="1" applyFill="1" applyBorder="1" applyAlignment="1">
      <alignment horizontal="left" wrapText="1"/>
    </xf>
    <xf numFmtId="0" fontId="26" fillId="7" borderId="33" xfId="0" applyFont="1" applyFill="1" applyBorder="1" applyAlignment="1">
      <alignment horizontal="left" wrapText="1"/>
    </xf>
    <xf numFmtId="0" fontId="26" fillId="7" borderId="34" xfId="0" applyFont="1" applyFill="1" applyBorder="1" applyAlignment="1">
      <alignment horizontal="left" wrapText="1"/>
    </xf>
    <xf numFmtId="168" fontId="10" fillId="7" borderId="1" xfId="0" applyNumberFormat="1" applyFont="1" applyFill="1" applyBorder="1" applyAlignment="1">
      <alignment horizont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168" fontId="26" fillId="4" borderId="2" xfId="0" applyNumberFormat="1" applyFont="1" applyFill="1" applyBorder="1" applyAlignment="1">
      <alignment horizontal="center"/>
    </xf>
    <xf numFmtId="168" fontId="26" fillId="6" borderId="11" xfId="0" applyNumberFormat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49" fontId="10" fillId="3" borderId="1" xfId="0" applyNumberFormat="1" applyFont="1" applyFill="1" applyBorder="1" applyAlignment="1">
      <alignment horizontal="left"/>
    </xf>
    <xf numFmtId="0" fontId="15" fillId="0" borderId="0" xfId="0" applyFont="1" applyAlignment="1">
      <alignment horizontal="left" vertical="center" wrapText="1"/>
    </xf>
    <xf numFmtId="0" fontId="33" fillId="0" borderId="0" xfId="0" applyFont="1" applyAlignment="1">
      <alignment horizontal="center"/>
    </xf>
    <xf numFmtId="44" fontId="0" fillId="0" borderId="0" xfId="4" applyFont="1" applyAlignment="1">
      <alignment horizontal="center"/>
    </xf>
    <xf numFmtId="0" fontId="20" fillId="0" borderId="22" xfId="5" applyFont="1" applyBorder="1" applyAlignment="1">
      <alignment horizontal="left" vertical="center"/>
    </xf>
    <xf numFmtId="0" fontId="20" fillId="0" borderId="0" xfId="5" applyFont="1" applyAlignment="1">
      <alignment horizontal="left" vertical="center"/>
    </xf>
    <xf numFmtId="0" fontId="20" fillId="0" borderId="0" xfId="5" applyFont="1" applyAlignment="1">
      <alignment horizontal="center" vertical="center"/>
    </xf>
    <xf numFmtId="2" fontId="20" fillId="7" borderId="9" xfId="5" applyNumberFormat="1" applyFont="1" applyFill="1" applyBorder="1" applyAlignment="1">
      <alignment horizontal="center" vertical="center"/>
    </xf>
    <xf numFmtId="49" fontId="20" fillId="0" borderId="0" xfId="5" applyNumberFormat="1" applyFont="1" applyAlignment="1">
      <alignment horizontal="left" vertical="center"/>
    </xf>
    <xf numFmtId="0" fontId="1" fillId="0" borderId="0" xfId="5" applyAlignment="1">
      <alignment horizontal="center" vertical="center"/>
    </xf>
    <xf numFmtId="0" fontId="1" fillId="0" borderId="5" xfId="5" applyBorder="1" applyAlignment="1">
      <alignment horizontal="center" vertical="center"/>
    </xf>
    <xf numFmtId="0" fontId="20" fillId="0" borderId="9" xfId="5" applyFont="1" applyBorder="1" applyAlignment="1" applyProtection="1">
      <alignment horizontal="center" vertical="center"/>
      <protection locked="0"/>
    </xf>
    <xf numFmtId="2" fontId="21" fillId="7" borderId="23" xfId="5" applyNumberFormat="1" applyFont="1" applyFill="1" applyBorder="1" applyAlignment="1">
      <alignment horizontal="center" vertical="center"/>
    </xf>
    <xf numFmtId="2" fontId="21" fillId="7" borderId="24" xfId="5" applyNumberFormat="1" applyFont="1" applyFill="1" applyBorder="1" applyAlignment="1">
      <alignment horizontal="center" vertical="center"/>
    </xf>
    <xf numFmtId="2" fontId="21" fillId="7" borderId="25" xfId="5" applyNumberFormat="1" applyFont="1" applyFill="1" applyBorder="1" applyAlignment="1">
      <alignment horizontal="center" vertical="center"/>
    </xf>
    <xf numFmtId="0" fontId="18" fillId="0" borderId="3" xfId="5" applyFont="1" applyBorder="1" applyAlignment="1">
      <alignment horizontal="center" vertical="center"/>
    </xf>
    <xf numFmtId="0" fontId="18" fillId="0" borderId="17" xfId="5" applyFont="1" applyBorder="1" applyAlignment="1">
      <alignment horizontal="center" vertical="center"/>
    </xf>
    <xf numFmtId="165" fontId="27" fillId="3" borderId="4" xfId="0" applyNumberFormat="1" applyFont="1" applyFill="1" applyBorder="1" applyAlignment="1">
      <alignment horizontal="left" vertical="center" wrapText="1"/>
    </xf>
    <xf numFmtId="9" fontId="27" fillId="3" borderId="1" xfId="0" quotePrefix="1" applyNumberFormat="1" applyFont="1" applyFill="1" applyBorder="1" applyAlignment="1">
      <alignment horizontal="left" vertical="center" wrapText="1"/>
    </xf>
    <xf numFmtId="49" fontId="20" fillId="0" borderId="0" xfId="5" applyNumberFormat="1" applyFont="1" applyAlignment="1">
      <alignment horizontal="center" vertical="center"/>
    </xf>
    <xf numFmtId="49" fontId="21" fillId="5" borderId="0" xfId="5" applyNumberFormat="1" applyFont="1" applyFill="1" applyAlignment="1">
      <alignment horizontal="left" vertical="center"/>
    </xf>
    <xf numFmtId="2" fontId="20" fillId="7" borderId="9" xfId="5" applyNumberFormat="1" applyFont="1" applyFill="1" applyBorder="1" applyAlignment="1" applyProtection="1">
      <alignment horizontal="center" vertical="center"/>
      <protection locked="0"/>
    </xf>
    <xf numFmtId="0" fontId="20" fillId="7" borderId="9" xfId="5" applyFont="1" applyFill="1" applyBorder="1" applyAlignment="1" applyProtection="1">
      <alignment horizontal="center" vertical="center"/>
      <protection locked="0"/>
    </xf>
    <xf numFmtId="49" fontId="21" fillId="0" borderId="0" xfId="5" applyNumberFormat="1" applyFont="1" applyAlignment="1">
      <alignment horizontal="left" vertical="center" wrapText="1"/>
    </xf>
    <xf numFmtId="0" fontId="21" fillId="0" borderId="0" xfId="5" applyFont="1" applyAlignment="1">
      <alignment horizontal="right" vertical="center"/>
    </xf>
    <xf numFmtId="3" fontId="21" fillId="7" borderId="23" xfId="5" applyNumberFormat="1" applyFont="1" applyFill="1" applyBorder="1" applyAlignment="1">
      <alignment horizontal="center" vertical="center"/>
    </xf>
    <xf numFmtId="3" fontId="21" fillId="7" borderId="24" xfId="5" applyNumberFormat="1" applyFont="1" applyFill="1" applyBorder="1" applyAlignment="1">
      <alignment horizontal="center" vertical="center"/>
    </xf>
    <xf numFmtId="3" fontId="21" fillId="7" borderId="25" xfId="5" applyNumberFormat="1" applyFont="1" applyFill="1" applyBorder="1" applyAlignment="1">
      <alignment horizontal="center" vertical="center"/>
    </xf>
    <xf numFmtId="49" fontId="21" fillId="5" borderId="0" xfId="5" applyNumberFormat="1" applyFont="1" applyFill="1" applyAlignment="1">
      <alignment horizontal="left" vertical="center" wrapText="1"/>
    </xf>
    <xf numFmtId="0" fontId="20" fillId="0" borderId="5" xfId="5" applyFont="1" applyBorder="1" applyAlignment="1">
      <alignment horizontal="center" vertical="center"/>
    </xf>
    <xf numFmtId="49" fontId="20" fillId="0" borderId="6" xfId="5" applyNumberFormat="1" applyFont="1" applyBorder="1" applyAlignment="1">
      <alignment horizontal="center" vertical="center" wrapText="1"/>
    </xf>
    <xf numFmtId="49" fontId="20" fillId="0" borderId="7" xfId="5" applyNumberFormat="1" applyFont="1" applyBorder="1" applyAlignment="1">
      <alignment horizontal="center" vertical="center" wrapText="1"/>
    </xf>
    <xf numFmtId="49" fontId="20" fillId="0" borderId="8" xfId="5" applyNumberFormat="1" applyFont="1" applyBorder="1" applyAlignment="1">
      <alignment horizontal="center" vertical="center" wrapText="1"/>
    </xf>
    <xf numFmtId="0" fontId="20" fillId="0" borderId="6" xfId="5" applyFont="1" applyBorder="1" applyAlignment="1">
      <alignment horizontal="center" vertical="center" wrapText="1"/>
    </xf>
    <xf numFmtId="0" fontId="20" fillId="0" borderId="7" xfId="5" applyFont="1" applyBorder="1" applyAlignment="1">
      <alignment horizontal="center" vertical="center" wrapText="1"/>
    </xf>
    <xf numFmtId="0" fontId="20" fillId="0" borderId="8" xfId="5" applyFont="1" applyBorder="1" applyAlignment="1">
      <alignment horizontal="center" vertical="center" wrapText="1"/>
    </xf>
    <xf numFmtId="0" fontId="20" fillId="0" borderId="9" xfId="5" applyFont="1" applyBorder="1" applyAlignment="1">
      <alignment horizontal="center" vertical="center" wrapText="1"/>
    </xf>
    <xf numFmtId="0" fontId="20" fillId="0" borderId="9" xfId="5" applyFont="1" applyBorder="1" applyAlignment="1">
      <alignment horizontal="center" vertical="center"/>
    </xf>
    <xf numFmtId="0" fontId="18" fillId="0" borderId="0" xfId="5" applyFont="1" applyAlignment="1">
      <alignment horizontal="left" vertical="center"/>
    </xf>
    <xf numFmtId="49" fontId="21" fillId="0" borderId="0" xfId="5" applyNumberFormat="1" applyFont="1" applyAlignment="1">
      <alignment horizontal="left" vertical="center"/>
    </xf>
    <xf numFmtId="49" fontId="20" fillId="6" borderId="6" xfId="5" applyNumberFormat="1" applyFont="1" applyFill="1" applyBorder="1" applyAlignment="1" applyProtection="1">
      <alignment horizontal="left" vertical="center" wrapText="1"/>
      <protection locked="0"/>
    </xf>
    <xf numFmtId="49" fontId="20" fillId="6" borderId="7" xfId="5" applyNumberFormat="1" applyFont="1" applyFill="1" applyBorder="1" applyAlignment="1" applyProtection="1">
      <alignment horizontal="left" vertical="center" wrapText="1"/>
      <protection locked="0"/>
    </xf>
    <xf numFmtId="49" fontId="20" fillId="6" borderId="8" xfId="5" applyNumberFormat="1" applyFont="1" applyFill="1" applyBorder="1" applyAlignment="1" applyProtection="1">
      <alignment horizontal="left" vertical="center" wrapText="1"/>
      <protection locked="0"/>
    </xf>
    <xf numFmtId="49" fontId="20" fillId="6" borderId="6" xfId="5" applyNumberFormat="1" applyFont="1" applyFill="1" applyBorder="1" applyAlignment="1" applyProtection="1">
      <alignment horizontal="center" vertical="center"/>
      <protection locked="0"/>
    </xf>
    <xf numFmtId="49" fontId="20" fillId="6" borderId="7" xfId="5" applyNumberFormat="1" applyFont="1" applyFill="1" applyBorder="1" applyAlignment="1" applyProtection="1">
      <alignment horizontal="center" vertical="center"/>
      <protection locked="0"/>
    </xf>
    <xf numFmtId="49" fontId="20" fillId="6" borderId="8" xfId="5" applyNumberFormat="1" applyFont="1" applyFill="1" applyBorder="1" applyAlignment="1" applyProtection="1">
      <alignment horizontal="center" vertical="center"/>
      <protection locked="0"/>
    </xf>
    <xf numFmtId="1" fontId="20" fillId="6" borderId="6" xfId="5" applyNumberFormat="1" applyFont="1" applyFill="1" applyBorder="1" applyAlignment="1" applyProtection="1">
      <alignment horizontal="center" vertical="center"/>
      <protection locked="0"/>
    </xf>
    <xf numFmtId="1" fontId="20" fillId="6" borderId="7" xfId="5" applyNumberFormat="1" applyFont="1" applyFill="1" applyBorder="1" applyAlignment="1" applyProtection="1">
      <alignment horizontal="center" vertical="center"/>
      <protection locked="0"/>
    </xf>
    <xf numFmtId="1" fontId="20" fillId="6" borderId="8" xfId="5" applyNumberFormat="1" applyFont="1" applyFill="1" applyBorder="1" applyAlignment="1" applyProtection="1">
      <alignment horizontal="center" vertical="center"/>
      <protection locked="0"/>
    </xf>
    <xf numFmtId="2" fontId="20" fillId="6" borderId="9" xfId="5" applyNumberFormat="1" applyFont="1" applyFill="1" applyBorder="1" applyAlignment="1" applyProtection="1">
      <alignment horizontal="center" vertical="center"/>
      <protection locked="0"/>
    </xf>
    <xf numFmtId="2" fontId="20" fillId="7" borderId="10" xfId="5" applyNumberFormat="1" applyFont="1" applyFill="1" applyBorder="1" applyAlignment="1">
      <alignment horizontal="center" vertical="center"/>
    </xf>
    <xf numFmtId="2" fontId="20" fillId="7" borderId="11" xfId="5" applyNumberFormat="1" applyFont="1" applyFill="1" applyBorder="1" applyAlignment="1">
      <alignment horizontal="center" vertical="center"/>
    </xf>
    <xf numFmtId="2" fontId="20" fillId="7" borderId="12" xfId="5" applyNumberFormat="1" applyFont="1" applyFill="1" applyBorder="1" applyAlignment="1">
      <alignment horizontal="center" vertical="center"/>
    </xf>
    <xf numFmtId="165" fontId="27" fillId="6" borderId="9" xfId="0" applyNumberFormat="1" applyFont="1" applyFill="1" applyBorder="1" applyAlignment="1">
      <alignment horizontal="left" vertical="center"/>
    </xf>
    <xf numFmtId="1" fontId="20" fillId="6" borderId="10" xfId="5" applyNumberFormat="1" applyFont="1" applyFill="1" applyBorder="1" applyAlignment="1" applyProtection="1">
      <alignment horizontal="center" vertical="center"/>
      <protection locked="0"/>
    </xf>
    <xf numFmtId="1" fontId="20" fillId="6" borderId="11" xfId="5" applyNumberFormat="1" applyFont="1" applyFill="1" applyBorder="1" applyAlignment="1" applyProtection="1">
      <alignment horizontal="center" vertical="center"/>
      <protection locked="0"/>
    </xf>
    <xf numFmtId="1" fontId="20" fillId="6" borderId="12" xfId="5" applyNumberFormat="1" applyFont="1" applyFill="1" applyBorder="1" applyAlignment="1" applyProtection="1">
      <alignment horizontal="center" vertical="center"/>
      <protection locked="0"/>
    </xf>
    <xf numFmtId="2" fontId="20" fillId="6" borderId="10" xfId="5" applyNumberFormat="1" applyFont="1" applyFill="1" applyBorder="1" applyAlignment="1" applyProtection="1">
      <alignment horizontal="center" vertical="center"/>
      <protection locked="0"/>
    </xf>
    <xf numFmtId="2" fontId="20" fillId="6" borderId="11" xfId="5" applyNumberFormat="1" applyFont="1" applyFill="1" applyBorder="1" applyAlignment="1" applyProtection="1">
      <alignment horizontal="center" vertical="center"/>
      <protection locked="0"/>
    </xf>
    <xf numFmtId="2" fontId="20" fillId="6" borderId="12" xfId="5" applyNumberFormat="1" applyFont="1" applyFill="1" applyBorder="1" applyAlignment="1" applyProtection="1">
      <alignment horizontal="center" vertical="center"/>
      <protection locked="0"/>
    </xf>
    <xf numFmtId="49" fontId="20" fillId="0" borderId="0" xfId="5" applyNumberFormat="1" applyFont="1" applyAlignment="1">
      <alignment horizontal="right" vertical="center"/>
    </xf>
    <xf numFmtId="49" fontId="20" fillId="0" borderId="5" xfId="5" applyNumberFormat="1" applyFont="1" applyBorder="1" applyAlignment="1">
      <alignment horizontal="right" vertical="center"/>
    </xf>
    <xf numFmtId="2" fontId="20" fillId="7" borderId="7" xfId="5" applyNumberFormat="1" applyFont="1" applyFill="1" applyBorder="1" applyAlignment="1">
      <alignment horizontal="center" vertical="center"/>
    </xf>
    <xf numFmtId="2" fontId="20" fillId="7" borderId="8" xfId="5" applyNumberFormat="1" applyFont="1" applyFill="1" applyBorder="1" applyAlignment="1">
      <alignment horizontal="center" vertical="center"/>
    </xf>
    <xf numFmtId="2" fontId="20" fillId="7" borderId="13" xfId="5" applyNumberFormat="1" applyFont="1" applyFill="1" applyBorder="1" applyAlignment="1">
      <alignment horizontal="center" vertical="center"/>
    </xf>
    <xf numFmtId="2" fontId="20" fillId="7" borderId="4" xfId="5" applyNumberFormat="1" applyFont="1" applyFill="1" applyBorder="1" applyAlignment="1">
      <alignment horizontal="center" vertical="center"/>
    </xf>
    <xf numFmtId="2" fontId="20" fillId="7" borderId="14" xfId="5" applyNumberFormat="1" applyFont="1" applyFill="1" applyBorder="1" applyAlignment="1">
      <alignment horizontal="center" vertical="center"/>
    </xf>
    <xf numFmtId="49" fontId="20" fillId="6" borderId="10" xfId="5" applyNumberFormat="1" applyFont="1" applyFill="1" applyBorder="1" applyAlignment="1" applyProtection="1">
      <alignment horizontal="left" vertical="center" wrapText="1"/>
      <protection locked="0"/>
    </xf>
    <xf numFmtId="49" fontId="20" fillId="6" borderId="11" xfId="5" applyNumberFormat="1" applyFont="1" applyFill="1" applyBorder="1" applyAlignment="1" applyProtection="1">
      <alignment horizontal="left" vertical="center" wrapText="1"/>
      <protection locked="0"/>
    </xf>
    <xf numFmtId="49" fontId="20" fillId="6" borderId="12" xfId="5" applyNumberFormat="1" applyFont="1" applyFill="1" applyBorder="1" applyAlignment="1" applyProtection="1">
      <alignment horizontal="left" vertical="center" wrapText="1"/>
      <protection locked="0"/>
    </xf>
    <xf numFmtId="49" fontId="20" fillId="6" borderId="10" xfId="5" applyNumberFormat="1" applyFont="1" applyFill="1" applyBorder="1" applyAlignment="1" applyProtection="1">
      <alignment horizontal="center" vertical="center"/>
      <protection locked="0"/>
    </xf>
    <xf numFmtId="49" fontId="20" fillId="6" borderId="11" xfId="5" applyNumberFormat="1" applyFont="1" applyFill="1" applyBorder="1" applyAlignment="1" applyProtection="1">
      <alignment horizontal="center" vertical="center"/>
      <protection locked="0"/>
    </xf>
    <xf numFmtId="49" fontId="20" fillId="6" borderId="12" xfId="5" applyNumberFormat="1" applyFont="1" applyFill="1" applyBorder="1" applyAlignment="1" applyProtection="1">
      <alignment horizontal="center" vertical="center"/>
      <protection locked="0"/>
    </xf>
    <xf numFmtId="0" fontId="20" fillId="0" borderId="4" xfId="5" applyFont="1" applyBorder="1" applyAlignment="1">
      <alignment horizontal="center" vertical="center"/>
    </xf>
    <xf numFmtId="165" fontId="22" fillId="0" borderId="22" xfId="5" applyNumberFormat="1" applyFont="1" applyBorder="1" applyAlignment="1">
      <alignment horizontal="center" vertical="center"/>
    </xf>
    <xf numFmtId="165" fontId="21" fillId="0" borderId="0" xfId="5" applyNumberFormat="1" applyFont="1" applyAlignment="1">
      <alignment horizontal="right" vertical="center"/>
    </xf>
    <xf numFmtId="0" fontId="23" fillId="0" borderId="15" xfId="5" applyFont="1" applyBorder="1" applyAlignment="1">
      <alignment horizontal="center" vertical="center"/>
    </xf>
    <xf numFmtId="2" fontId="21" fillId="7" borderId="16" xfId="5" applyNumberFormat="1" applyFont="1" applyFill="1" applyBorder="1" applyAlignment="1">
      <alignment horizontal="center" vertical="center"/>
    </xf>
    <xf numFmtId="2" fontId="21" fillId="7" borderId="17" xfId="5" applyNumberFormat="1" applyFont="1" applyFill="1" applyBorder="1" applyAlignment="1">
      <alignment horizontal="center" vertical="center"/>
    </xf>
    <xf numFmtId="2" fontId="21" fillId="7" borderId="18" xfId="5" applyNumberFormat="1" applyFont="1" applyFill="1" applyBorder="1" applyAlignment="1">
      <alignment horizontal="center" vertical="center"/>
    </xf>
    <xf numFmtId="2" fontId="21" fillId="7" borderId="20" xfId="5" applyNumberFormat="1" applyFont="1" applyFill="1" applyBorder="1" applyAlignment="1">
      <alignment horizontal="center" vertical="center"/>
    </xf>
    <xf numFmtId="2" fontId="21" fillId="7" borderId="3" xfId="5" applyNumberFormat="1" applyFont="1" applyFill="1" applyBorder="1" applyAlignment="1">
      <alignment horizontal="center" vertical="center"/>
    </xf>
    <xf numFmtId="2" fontId="21" fillId="7" borderId="21" xfId="5" applyNumberFormat="1" applyFont="1" applyFill="1" applyBorder="1" applyAlignment="1">
      <alignment horizontal="center" vertical="center"/>
    </xf>
    <xf numFmtId="0" fontId="20" fillId="0" borderId="19" xfId="5" applyFont="1" applyBorder="1" applyAlignment="1">
      <alignment horizontal="center" vertical="center"/>
    </xf>
    <xf numFmtId="0" fontId="20" fillId="0" borderId="7" xfId="5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68" fontId="26" fillId="4" borderId="26" xfId="0" applyNumberFormat="1" applyFont="1" applyFill="1" applyBorder="1" applyAlignment="1">
      <alignment horizontal="center"/>
    </xf>
    <xf numFmtId="168" fontId="26" fillId="4" borderId="4" xfId="0" applyNumberFormat="1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26" fillId="8" borderId="1" xfId="0" applyFont="1" applyFill="1" applyBorder="1" applyAlignment="1">
      <alignment horizontal="left"/>
    </xf>
    <xf numFmtId="0" fontId="15" fillId="0" borderId="0" xfId="0" applyFont="1" applyAlignment="1">
      <alignment horizontal="left" vertical="center"/>
    </xf>
    <xf numFmtId="0" fontId="26" fillId="8" borderId="4" xfId="0" applyFont="1" applyFill="1" applyBorder="1" applyAlignment="1">
      <alignment horizontal="left"/>
    </xf>
    <xf numFmtId="168" fontId="26" fillId="4" borderId="2" xfId="0" quotePrefix="1" applyNumberFormat="1" applyFont="1" applyFill="1" applyBorder="1" applyAlignment="1">
      <alignment horizontal="center"/>
    </xf>
    <xf numFmtId="9" fontId="10" fillId="0" borderId="1" xfId="0" quotePrefix="1" applyNumberFormat="1" applyFont="1" applyFill="1" applyBorder="1" applyAlignment="1">
      <alignment horizontal="left"/>
    </xf>
  </cellXfs>
  <cellStyles count="7">
    <cellStyle name="Comma" xfId="3" builtinId="3"/>
    <cellStyle name="Currency" xfId="4" builtinId="4"/>
    <cellStyle name="Hyperlink 2" xfId="2" xr:uid="{73BC6EA1-B08B-4219-9A2D-2245CFADECB3}"/>
    <cellStyle name="Normal" xfId="0" builtinId="0"/>
    <cellStyle name="Normal 2" xfId="1" xr:uid="{FBDA50F6-2305-4573-9507-84CF7656F166}"/>
    <cellStyle name="Normal 3" xfId="5" xr:uid="{DBB7BC3B-6338-409B-9C66-D99F39943C93}"/>
    <cellStyle name="Percent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39</xdr:col>
      <xdr:colOff>139698</xdr:colOff>
      <xdr:row>12</xdr:row>
      <xdr:rowOff>81290</xdr:rowOff>
    </xdr:from>
    <xdr:ext cx="845103" cy="2891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 txBox="1"/>
          </xdr:nvSpPr>
          <xdr:spPr>
            <a:xfrm>
              <a:off x="2444748" y="3110240"/>
              <a:ext cx="845103" cy="2891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000" b="0" i="1">
                        <a:latin typeface="Cambria Math" panose="02040503050406030204" pitchFamily="18" charset="0"/>
                      </a:rPr>
                      <m:t>𝑆</m:t>
                    </m:r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1000</m:t>
                        </m:r>
                      </m:num>
                      <m:den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𝐶𝑁</m:t>
                        </m:r>
                      </m:den>
                    </m:f>
                    <m:r>
                      <a:rPr lang="en-US" sz="1000" b="0" i="1">
                        <a:latin typeface="Cambria Math" panose="02040503050406030204" pitchFamily="18" charset="0"/>
                      </a:rPr>
                      <m:t>−10</m:t>
                    </m:r>
                  </m:oMath>
                </m:oMathPara>
              </a14:m>
              <a:endParaRPr lang="en-US" sz="9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983016D-33E1-496A-8332-50DC6A803E69}"/>
                </a:ext>
              </a:extLst>
            </xdr:cNvPr>
            <xdr:cNvSpPr txBox="1"/>
          </xdr:nvSpPr>
          <xdr:spPr>
            <a:xfrm>
              <a:off x="2444748" y="3110240"/>
              <a:ext cx="845103" cy="2891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𝑆=1000/𝐶𝑁−10</a:t>
              </a:r>
              <a:endParaRPr lang="en-US" sz="900"/>
            </a:p>
          </xdr:txBody>
        </xdr:sp>
      </mc:Fallback>
    </mc:AlternateContent>
    <xdr:clientData/>
  </xdr:oneCellAnchor>
  <xdr:oneCellAnchor>
    <xdr:from>
      <xdr:col>39</xdr:col>
      <xdr:colOff>33699</xdr:colOff>
      <xdr:row>13</xdr:row>
      <xdr:rowOff>65690</xdr:rowOff>
    </xdr:from>
    <xdr:ext cx="993412" cy="3306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SpPr txBox="1"/>
          </xdr:nvSpPr>
          <xdr:spPr>
            <a:xfrm>
              <a:off x="2338749" y="355184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𝑃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−0.2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</m:t>
                                </m:r>
                              </m:e>
                            </m:d>
                          </m:e>
                          <m:sup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d>
                          <m:d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𝑃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+0.8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𝑆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7072CCD-DC56-4B3C-BE98-BEBC27827FCF}"/>
                </a:ext>
              </a:extLst>
            </xdr:cNvPr>
            <xdr:cNvSpPr txBox="1"/>
          </xdr:nvSpPr>
          <xdr:spPr>
            <a:xfrm>
              <a:off x="2338749" y="355184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𝑄_𝐷=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(𝑃−0.2𝑆)^</a:t>
              </a:r>
              <a:r>
                <a:rPr lang="en-US" sz="1000" b="0" i="0">
                  <a:latin typeface="Cambria Math" panose="02040503050406030204" pitchFamily="18" charset="0"/>
                </a:rPr>
                <a:t>2/((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𝑃+0.8𝑆)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39</xdr:col>
      <xdr:colOff>39414</xdr:colOff>
      <xdr:row>19</xdr:row>
      <xdr:rowOff>26276</xdr:rowOff>
    </xdr:from>
    <xdr:ext cx="988347" cy="4133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SpPr txBox="1"/>
          </xdr:nvSpPr>
          <xdr:spPr>
            <a:xfrm>
              <a:off x="2344464" y="4369676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𝑅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𝐴</m:t>
                    </m:r>
                    <m:d>
                      <m:d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12</m:t>
                            </m:r>
                            <m:box>
                              <m:boxPr>
                                <m:ctrlPr>
                                  <a:rPr lang="en-US" sz="1000" b="0" i="1">
                                    <a:latin typeface="Cambria Math" panose="02040503050406030204" pitchFamily="18" charset="0"/>
                                  </a:rPr>
                                </m:ctrlPr>
                              </m:boxPr>
                              <m:e>
                                <m:argPr>
                                  <m:argSz m:val="-1"/>
                                </m:argPr>
                                <m:f>
                                  <m:fPr>
                                    <m:ctrlP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𝑖𝑛</m:t>
                                    </m:r>
                                  </m:num>
                                  <m:den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𝑓𝑡</m:t>
                                    </m:r>
                                  </m:den>
                                </m:f>
                              </m:e>
                            </m:box>
                          </m:den>
                        </m:f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807586A-1A2E-4FCE-88FD-D6CFB958E0F8}"/>
                </a:ext>
              </a:extLst>
            </xdr:cNvPr>
            <xdr:cNvSpPr txBox="1"/>
          </xdr:nvSpPr>
          <xdr:spPr>
            <a:xfrm>
              <a:off x="2344464" y="4369676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𝑉_𝑅=𝑄_𝐷 𝐴(1/(12□(64&amp;𝑖𝑛/𝑓𝑡)))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39</xdr:col>
      <xdr:colOff>33699</xdr:colOff>
      <xdr:row>14</xdr:row>
      <xdr:rowOff>65690</xdr:rowOff>
    </xdr:from>
    <xdr:ext cx="993412" cy="3306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200-000008000000}"/>
                </a:ext>
              </a:extLst>
            </xdr:cNvPr>
            <xdr:cNvSpPr txBox="1"/>
          </xdr:nvSpPr>
          <xdr:spPr>
            <a:xfrm>
              <a:off x="2338749" y="378044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𝑃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−0.2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</m:t>
                                </m:r>
                              </m:e>
                            </m:d>
                          </m:e>
                          <m:sup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d>
                          <m:d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𝑃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+0.8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𝑆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7FF1267D-2616-4A01-96B6-461B7A18E304}"/>
                </a:ext>
              </a:extLst>
            </xdr:cNvPr>
            <xdr:cNvSpPr txBox="1"/>
          </xdr:nvSpPr>
          <xdr:spPr>
            <a:xfrm>
              <a:off x="2338749" y="378044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𝑄_𝐷=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(𝑃−0.2𝑆)^</a:t>
              </a:r>
              <a:r>
                <a:rPr lang="en-US" sz="1000" b="0" i="0">
                  <a:latin typeface="Cambria Math" panose="02040503050406030204" pitchFamily="18" charset="0"/>
                </a:rPr>
                <a:t>2/((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𝑃+0.8𝑆)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39</xdr:col>
      <xdr:colOff>39414</xdr:colOff>
      <xdr:row>23</xdr:row>
      <xdr:rowOff>26276</xdr:rowOff>
    </xdr:from>
    <xdr:ext cx="988347" cy="4133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200-000009000000}"/>
                </a:ext>
              </a:extLst>
            </xdr:cNvPr>
            <xdr:cNvSpPr txBox="1"/>
          </xdr:nvSpPr>
          <xdr:spPr>
            <a:xfrm>
              <a:off x="2344464" y="5141201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𝑅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𝐴</m:t>
                    </m:r>
                    <m:d>
                      <m:d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12</m:t>
                            </m:r>
                            <m:box>
                              <m:boxPr>
                                <m:ctrlPr>
                                  <a:rPr lang="en-US" sz="1000" b="0" i="1">
                                    <a:latin typeface="Cambria Math" panose="02040503050406030204" pitchFamily="18" charset="0"/>
                                  </a:rPr>
                                </m:ctrlPr>
                              </m:boxPr>
                              <m:e>
                                <m:argPr>
                                  <m:argSz m:val="-1"/>
                                </m:argPr>
                                <m:f>
                                  <m:fPr>
                                    <m:ctrlP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𝑖𝑛</m:t>
                                    </m:r>
                                  </m:num>
                                  <m:den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𝑓𝑡</m:t>
                                    </m:r>
                                  </m:den>
                                </m:f>
                              </m:e>
                            </m:box>
                          </m:den>
                        </m:f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CD6F096-3D49-4BEF-B4FF-09DFED8931FC}"/>
                </a:ext>
              </a:extLst>
            </xdr:cNvPr>
            <xdr:cNvSpPr txBox="1"/>
          </xdr:nvSpPr>
          <xdr:spPr>
            <a:xfrm>
              <a:off x="2344464" y="5141201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𝑉_𝑅=𝑄_𝐷 𝐴(1/(12□(64&amp;𝑖𝑛/𝑓𝑡)))</a:t>
              </a:r>
              <a:endParaRPr lang="en-US" sz="1100"/>
            </a:p>
          </xdr:txBody>
        </xdr:sp>
      </mc:Fallback>
    </mc:AlternateContent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26</xdr:row>
          <xdr:rowOff>123825</xdr:rowOff>
        </xdr:from>
        <xdr:to>
          <xdr:col>27</xdr:col>
          <xdr:colOff>0</xdr:colOff>
          <xdr:row>52</xdr:row>
          <xdr:rowOff>104775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2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FFFFFF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21</xdr:row>
      <xdr:rowOff>0</xdr:rowOff>
    </xdr:from>
    <xdr:to>
      <xdr:col>22</xdr:col>
      <xdr:colOff>514350</xdr:colOff>
      <xdr:row>37</xdr:row>
      <xdr:rowOff>209550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91975" y="2371725"/>
          <a:ext cx="6829425" cy="3124200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44</xdr:row>
      <xdr:rowOff>0</xdr:rowOff>
    </xdr:from>
    <xdr:to>
      <xdr:col>21</xdr:col>
      <xdr:colOff>152400</xdr:colOff>
      <xdr:row>64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  <a:ext uri="{147F2762-F138-4A5C-976F-8EAC2B608ADB}">
              <a16:predDERef xmlns:a16="http://schemas.microsoft.com/office/drawing/2014/main" pred="{8CA15451-5EE0-9D79-138F-144FB78FE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991975" y="6791325"/>
          <a:ext cx="5857875" cy="3867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22</xdr:row>
      <xdr:rowOff>0</xdr:rowOff>
    </xdr:from>
    <xdr:to>
      <xdr:col>22</xdr:col>
      <xdr:colOff>514350</xdr:colOff>
      <xdr:row>38</xdr:row>
      <xdr:rowOff>228600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91975" y="2371725"/>
          <a:ext cx="6829425" cy="3124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39</xdr:col>
      <xdr:colOff>139698</xdr:colOff>
      <xdr:row>12</xdr:row>
      <xdr:rowOff>81290</xdr:rowOff>
    </xdr:from>
    <xdr:ext cx="845103" cy="28911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8397873" y="3510290"/>
              <a:ext cx="845103" cy="2891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000" b="0" i="1">
                        <a:latin typeface="Cambria Math" panose="02040503050406030204" pitchFamily="18" charset="0"/>
                      </a:rPr>
                      <m:t>𝑆</m:t>
                    </m:r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1000</m:t>
                        </m:r>
                      </m:num>
                      <m:den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𝐶𝑁</m:t>
                        </m:r>
                      </m:den>
                    </m:f>
                    <m:r>
                      <a:rPr lang="en-US" sz="1000" b="0" i="1">
                        <a:latin typeface="Cambria Math" panose="02040503050406030204" pitchFamily="18" charset="0"/>
                      </a:rPr>
                      <m:t>−10</m:t>
                    </m:r>
                  </m:oMath>
                </m:oMathPara>
              </a14:m>
              <a:endParaRPr lang="en-US" sz="9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BD5CFFF-096F-4EF5-BE2F-0E0DD3964AD6}"/>
                </a:ext>
              </a:extLst>
            </xdr:cNvPr>
            <xdr:cNvSpPr txBox="1"/>
          </xdr:nvSpPr>
          <xdr:spPr>
            <a:xfrm>
              <a:off x="8397873" y="3510290"/>
              <a:ext cx="845103" cy="2891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𝑆=1000/𝐶𝑁−10</a:t>
              </a:r>
              <a:endParaRPr lang="en-US" sz="900"/>
            </a:p>
          </xdr:txBody>
        </xdr:sp>
      </mc:Fallback>
    </mc:AlternateContent>
    <xdr:clientData/>
  </xdr:oneCellAnchor>
  <xdr:oneCellAnchor>
    <xdr:from>
      <xdr:col>39</xdr:col>
      <xdr:colOff>33699</xdr:colOff>
      <xdr:row>13</xdr:row>
      <xdr:rowOff>65690</xdr:rowOff>
    </xdr:from>
    <xdr:ext cx="993412" cy="3306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600-000003000000}"/>
                </a:ext>
              </a:extLst>
            </xdr:cNvPr>
            <xdr:cNvSpPr txBox="1"/>
          </xdr:nvSpPr>
          <xdr:spPr>
            <a:xfrm>
              <a:off x="8291874" y="391379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𝑃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−0.2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</m:t>
                                </m:r>
                              </m:e>
                            </m:d>
                          </m:e>
                          <m:sup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d>
                          <m:d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𝑃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+0.8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𝑆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CAAF3EA-A28F-4375-B14A-21BE042C860A}"/>
                </a:ext>
              </a:extLst>
            </xdr:cNvPr>
            <xdr:cNvSpPr txBox="1"/>
          </xdr:nvSpPr>
          <xdr:spPr>
            <a:xfrm>
              <a:off x="8291874" y="391379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𝑄_𝐷=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(𝑃−0.2𝑆)^</a:t>
              </a:r>
              <a:r>
                <a:rPr lang="en-US" sz="1000" b="0" i="0">
                  <a:latin typeface="Cambria Math" panose="02040503050406030204" pitchFamily="18" charset="0"/>
                </a:rPr>
                <a:t>2/((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𝑃+0.8𝑆)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39</xdr:col>
      <xdr:colOff>39414</xdr:colOff>
      <xdr:row>19</xdr:row>
      <xdr:rowOff>26276</xdr:rowOff>
    </xdr:from>
    <xdr:ext cx="988347" cy="4133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0000000-0008-0000-0600-000004000000}"/>
                </a:ext>
              </a:extLst>
            </xdr:cNvPr>
            <xdr:cNvSpPr txBox="1"/>
          </xdr:nvSpPr>
          <xdr:spPr>
            <a:xfrm>
              <a:off x="8297589" y="5198351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𝑅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𝐴</m:t>
                    </m:r>
                    <m:d>
                      <m:d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12</m:t>
                            </m:r>
                            <m:box>
                              <m:boxPr>
                                <m:ctrlPr>
                                  <a:rPr lang="en-US" sz="1000" b="0" i="1">
                                    <a:latin typeface="Cambria Math" panose="02040503050406030204" pitchFamily="18" charset="0"/>
                                  </a:rPr>
                                </m:ctrlPr>
                              </m:boxPr>
                              <m:e>
                                <m:argPr>
                                  <m:argSz m:val="-1"/>
                                </m:argPr>
                                <m:f>
                                  <m:fPr>
                                    <m:ctrlP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𝑖𝑛</m:t>
                                    </m:r>
                                  </m:num>
                                  <m:den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𝑓𝑡</m:t>
                                    </m:r>
                                  </m:den>
                                </m:f>
                              </m:e>
                            </m:box>
                          </m:den>
                        </m:f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453433A8-DBD9-4ED7-9043-DFBAB3D206B3}"/>
                </a:ext>
              </a:extLst>
            </xdr:cNvPr>
            <xdr:cNvSpPr txBox="1"/>
          </xdr:nvSpPr>
          <xdr:spPr>
            <a:xfrm>
              <a:off x="8297589" y="5198351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𝑉_𝑅=𝑄_𝐷 𝐴(1/(12□(64&amp;𝑖𝑛/𝑓𝑡)))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39</xdr:col>
      <xdr:colOff>33699</xdr:colOff>
      <xdr:row>14</xdr:row>
      <xdr:rowOff>65690</xdr:rowOff>
    </xdr:from>
    <xdr:ext cx="993412" cy="3306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8291874" y="433289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𝑃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−0.2</m:t>
                                </m:r>
                                <m:r>
                                  <a:rPr lang="en-US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𝑆</m:t>
                                </m:r>
                              </m:e>
                            </m:d>
                          </m:e>
                          <m:sup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d>
                          <m:d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𝑃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+0.8</m:t>
                            </m:r>
                            <m:r>
                              <a:rPr lang="en-US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𝑆</m:t>
                            </m:r>
                          </m:e>
                        </m:d>
                      </m:den>
                    </m:f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7BBFCFD-E533-45BF-9D79-262DB93A3453}"/>
                </a:ext>
              </a:extLst>
            </xdr:cNvPr>
            <xdr:cNvSpPr txBox="1"/>
          </xdr:nvSpPr>
          <xdr:spPr>
            <a:xfrm>
              <a:off x="8291874" y="4332890"/>
              <a:ext cx="993412" cy="3306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𝑄_𝐷=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(𝑃−0.2𝑆)^</a:t>
              </a:r>
              <a:r>
                <a:rPr lang="en-US" sz="1000" b="0" i="0">
                  <a:latin typeface="Cambria Math" panose="02040503050406030204" pitchFamily="18" charset="0"/>
                </a:rPr>
                <a:t>2/((</a:t>
              </a:r>
              <a:r>
                <a:rPr lang="en-US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𝑃+0.8𝑆)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39</xdr:col>
      <xdr:colOff>39414</xdr:colOff>
      <xdr:row>23</xdr:row>
      <xdr:rowOff>26276</xdr:rowOff>
    </xdr:from>
    <xdr:ext cx="988347" cy="4133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600-000006000000}"/>
                </a:ext>
              </a:extLst>
            </xdr:cNvPr>
            <xdr:cNvSpPr txBox="1"/>
          </xdr:nvSpPr>
          <xdr:spPr>
            <a:xfrm>
              <a:off x="8297589" y="6369926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𝑅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𝑄</m:t>
                        </m:r>
                      </m:e>
                      <m:sub>
                        <m:r>
                          <a:rPr lang="en-US" sz="10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r>
                      <a:rPr lang="en-US" sz="1000" b="0" i="1">
                        <a:latin typeface="Cambria Math" panose="02040503050406030204" pitchFamily="18" charset="0"/>
                      </a:rPr>
                      <m:t>𝐴</m:t>
                    </m:r>
                    <m:d>
                      <m:dPr>
                        <m:ctrlPr>
                          <a:rPr lang="en-US" sz="10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0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n-US" sz="1000" b="0" i="1">
                                <a:latin typeface="Cambria Math" panose="02040503050406030204" pitchFamily="18" charset="0"/>
                              </a:rPr>
                              <m:t>12</m:t>
                            </m:r>
                            <m:box>
                              <m:boxPr>
                                <m:ctrlPr>
                                  <a:rPr lang="en-US" sz="1000" b="0" i="1">
                                    <a:latin typeface="Cambria Math" panose="02040503050406030204" pitchFamily="18" charset="0"/>
                                  </a:rPr>
                                </m:ctrlPr>
                              </m:boxPr>
                              <m:e>
                                <m:argPr>
                                  <m:argSz m:val="-1"/>
                                </m:argPr>
                                <m:f>
                                  <m:fPr>
                                    <m:ctrlP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𝑖𝑛</m:t>
                                    </m:r>
                                  </m:num>
                                  <m:den>
                                    <m:r>
                                      <a:rPr lang="en-US" sz="1000" b="0" i="1">
                                        <a:latin typeface="Cambria Math" panose="02040503050406030204" pitchFamily="18" charset="0"/>
                                      </a:rPr>
                                      <m:t>𝑓𝑡</m:t>
                                    </m:r>
                                  </m:den>
                                </m:f>
                              </m:e>
                            </m:box>
                          </m:den>
                        </m:f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9AE2D7D-6AF8-49FA-91ED-A35EFAA50746}"/>
                </a:ext>
              </a:extLst>
            </xdr:cNvPr>
            <xdr:cNvSpPr txBox="1"/>
          </xdr:nvSpPr>
          <xdr:spPr>
            <a:xfrm>
              <a:off x="8297589" y="6369926"/>
              <a:ext cx="988347" cy="4133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000" b="0" i="0">
                  <a:latin typeface="Cambria Math" panose="02040503050406030204" pitchFamily="18" charset="0"/>
                </a:rPr>
                <a:t>𝑉_𝑅=𝑄_𝐷 𝐴(1/(12□(64&amp;𝑖𝑛/𝑓𝑡)))</a:t>
              </a:r>
              <a:endParaRPr lang="en-US" sz="1100"/>
            </a:p>
          </xdr:txBody>
        </xdr:sp>
      </mc:Fallback>
    </mc:AlternateContent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24</xdr:row>
          <xdr:rowOff>190500</xdr:rowOff>
        </xdr:from>
        <xdr:to>
          <xdr:col>26</xdr:col>
          <xdr:colOff>200025</xdr:colOff>
          <xdr:row>49</xdr:row>
          <xdr:rowOff>114300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6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FFFFFF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4E80-E449-4528-8A44-9F5B98BCA547}">
  <sheetPr>
    <tabColor theme="9" tint="0.59999389629810485"/>
    <pageSetUpPr fitToPage="1"/>
  </sheetPr>
  <dimension ref="A1:O134"/>
  <sheetViews>
    <sheetView tabSelected="1" zoomScaleNormal="100" zoomScaleSheetLayoutView="80" workbookViewId="0">
      <selection activeCell="J14" sqref="J14"/>
    </sheetView>
  </sheetViews>
  <sheetFormatPr defaultRowHeight="12.75" x14ac:dyDescent="0.2"/>
  <cols>
    <col min="1" max="1" width="8.140625" customWidth="1"/>
    <col min="2" max="2" width="18.7109375" customWidth="1"/>
    <col min="3" max="3" width="10.5703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6.85546875" customWidth="1"/>
    <col min="10" max="10" width="9.710937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8"/>
    </row>
    <row r="3" spans="1:15" ht="18" x14ac:dyDescent="0.25">
      <c r="A3" s="1" t="s">
        <v>6</v>
      </c>
      <c r="J3" s="22" t="s">
        <v>7</v>
      </c>
      <c r="K3" s="98"/>
      <c r="L3" s="98"/>
      <c r="N3" s="7" t="s">
        <v>8</v>
      </c>
    </row>
    <row r="4" spans="1:15" ht="15" customHeight="1" x14ac:dyDescent="0.25">
      <c r="A4" s="1"/>
      <c r="K4" s="98"/>
      <c r="L4" s="98"/>
      <c r="N4" s="70" t="s">
        <v>9</v>
      </c>
      <c r="O4" s="70" t="s">
        <v>10</v>
      </c>
    </row>
    <row r="5" spans="1:15" ht="15" customHeight="1" x14ac:dyDescent="0.25">
      <c r="A5" s="99" t="s">
        <v>11</v>
      </c>
      <c r="B5" s="99"/>
      <c r="C5" s="83"/>
      <c r="D5" s="83"/>
      <c r="E5" s="83"/>
      <c r="F5" s="83"/>
      <c r="G5" s="83"/>
      <c r="H5" s="83"/>
      <c r="I5" s="83"/>
      <c r="K5" s="98"/>
      <c r="L5" s="98"/>
      <c r="N5" s="8" t="s">
        <v>12</v>
      </c>
      <c r="O5" s="8">
        <v>0.41</v>
      </c>
    </row>
    <row r="6" spans="1:15" ht="15" customHeight="1" x14ac:dyDescent="0.25">
      <c r="A6" s="69" t="s">
        <v>13</v>
      </c>
      <c r="B6" s="69"/>
      <c r="C6" s="64"/>
      <c r="D6" s="69"/>
      <c r="E6" s="69"/>
      <c r="F6" s="69"/>
      <c r="G6" s="69"/>
      <c r="H6" s="69"/>
      <c r="I6" s="69"/>
      <c r="K6" s="98"/>
      <c r="L6" s="98"/>
      <c r="N6" s="8" t="s">
        <v>14</v>
      </c>
      <c r="O6" s="8">
        <v>0.38</v>
      </c>
    </row>
    <row r="7" spans="1:15" ht="15" customHeight="1" thickBot="1" x14ac:dyDescent="0.3">
      <c r="A7" s="94" t="s">
        <v>15</v>
      </c>
      <c r="B7" s="94"/>
      <c r="C7" s="205">
        <v>0.3</v>
      </c>
      <c r="D7" s="69"/>
      <c r="E7" s="48"/>
      <c r="F7" s="26"/>
      <c r="K7" s="98"/>
      <c r="L7" s="98"/>
      <c r="N7" s="8" t="s">
        <v>17</v>
      </c>
      <c r="O7" s="8">
        <v>0.28000000000000003</v>
      </c>
    </row>
    <row r="8" spans="1:15" ht="15" customHeight="1" x14ac:dyDescent="0.25">
      <c r="A8" s="94" t="s">
        <v>18</v>
      </c>
      <c r="B8" s="94"/>
      <c r="C8" s="27">
        <f>SUMIF(J24:J504,"Subtotal Constructed Volume (gallons)",K24:K504)</f>
        <v>0</v>
      </c>
      <c r="D8" s="28" t="s">
        <v>19</v>
      </c>
      <c r="E8" s="49" t="s">
        <v>20</v>
      </c>
      <c r="F8" s="50"/>
      <c r="G8" s="50"/>
      <c r="H8" s="50"/>
      <c r="I8" s="51"/>
      <c r="K8" s="98"/>
      <c r="L8" s="98"/>
      <c r="N8" s="8" t="s">
        <v>21</v>
      </c>
      <c r="O8" s="8">
        <v>0.28000000000000003</v>
      </c>
    </row>
    <row r="9" spans="1:15" ht="15" customHeight="1" x14ac:dyDescent="0.25">
      <c r="A9" s="94" t="s">
        <v>22</v>
      </c>
      <c r="B9" s="94"/>
      <c r="C9" s="27">
        <f>SUMIF(J24:J504,"Infiltration Volume (gallons)",K24:K504)</f>
        <v>0</v>
      </c>
      <c r="D9" s="28" t="s">
        <v>19</v>
      </c>
      <c r="E9" s="100" t="str">
        <f>IF(ISNUMBER('CN &amp; Runoff Volume'!AU22),IF(C10=0,"To be determined",IF(C10&lt;'CN &amp; Runoff Volume'!AU22,"WARNING! DRC does not meet the 10-yr runoff volume",IF(C10&gt;'CN &amp; Runoff Volume'!AU26,"DRC exceeds the 100-yr runoff volume - DRC will be capped to calculate MWRD Contribution","DRC is between the 10- to 100-yr runoff volume"))),"Please fill in CN &amp; Runoff Volume tab")</f>
        <v>Please fill in CN &amp; Runoff Volume tab</v>
      </c>
      <c r="F9" s="101"/>
      <c r="G9" s="101"/>
      <c r="H9" s="101"/>
      <c r="I9" s="102"/>
      <c r="K9" s="98"/>
      <c r="L9" s="98"/>
      <c r="N9" s="8" t="s">
        <v>23</v>
      </c>
      <c r="O9" s="8">
        <v>0.25</v>
      </c>
    </row>
    <row r="10" spans="1:15" ht="15" customHeight="1" thickBot="1" x14ac:dyDescent="0.3">
      <c r="A10" s="107" t="s">
        <v>24</v>
      </c>
      <c r="B10" s="108"/>
      <c r="C10" s="29">
        <f>SUM(C8:C9)</f>
        <v>0</v>
      </c>
      <c r="D10" s="30" t="s">
        <v>19</v>
      </c>
      <c r="E10" s="103"/>
      <c r="F10" s="104"/>
      <c r="G10" s="104"/>
      <c r="H10" s="104"/>
      <c r="I10" s="105"/>
      <c r="K10" s="98"/>
      <c r="L10" s="98"/>
    </row>
    <row r="11" spans="1:15" ht="15" customHeight="1" x14ac:dyDescent="0.25">
      <c r="A11" s="107" t="s">
        <v>25</v>
      </c>
      <c r="B11" s="108"/>
      <c r="C11" s="29">
        <f>IF(C10&gt;'CN &amp; Runoff Volume'!AU26,'CN &amp; Runoff Volume'!AU26,C10)</f>
        <v>0</v>
      </c>
      <c r="D11" s="53" t="s">
        <v>19</v>
      </c>
      <c r="H11" s="48"/>
      <c r="I11" s="48"/>
      <c r="J11" s="48"/>
      <c r="K11" s="98"/>
      <c r="L11" s="98"/>
      <c r="N11" s="8"/>
      <c r="O11" s="8"/>
    </row>
    <row r="12" spans="1:15" ht="15" customHeight="1" x14ac:dyDescent="0.2">
      <c r="A12" s="94" t="s">
        <v>26</v>
      </c>
      <c r="B12" s="94"/>
      <c r="C12" s="27">
        <f>C11-C8</f>
        <v>0</v>
      </c>
      <c r="J12" s="48"/>
      <c r="K12" s="98"/>
      <c r="L12" s="98"/>
    </row>
    <row r="13" spans="1:15" ht="14.25" x14ac:dyDescent="0.2">
      <c r="A13" s="95" t="s">
        <v>27</v>
      </c>
      <c r="B13" s="95"/>
      <c r="C13" s="60"/>
      <c r="D13" s="54" t="s">
        <v>28</v>
      </c>
      <c r="F13" s="60"/>
      <c r="G13" s="54" t="s">
        <v>29</v>
      </c>
      <c r="I13" s="48"/>
      <c r="J13" s="48"/>
      <c r="K13" s="98"/>
      <c r="L13" s="98"/>
    </row>
    <row r="14" spans="1:15" ht="14.25" x14ac:dyDescent="0.2">
      <c r="A14" s="96" t="s">
        <v>30</v>
      </c>
      <c r="B14" s="96"/>
      <c r="C14" s="106">
        <f>C8*C13+C12*F13</f>
        <v>0</v>
      </c>
      <c r="D14" s="106"/>
      <c r="E14" s="26"/>
      <c r="F14" s="59"/>
      <c r="G14" s="59"/>
      <c r="H14" s="59"/>
      <c r="I14" s="59"/>
      <c r="K14" s="98"/>
      <c r="L14" s="98"/>
    </row>
    <row r="15" spans="1:15" ht="14.25" x14ac:dyDescent="0.2">
      <c r="A15" s="86" t="s">
        <v>31</v>
      </c>
      <c r="B15" s="86"/>
      <c r="C15" s="92">
        <v>0</v>
      </c>
      <c r="D15" s="92"/>
      <c r="E15" s="5" t="s">
        <v>141</v>
      </c>
      <c r="F15" s="59"/>
      <c r="G15" s="59"/>
      <c r="H15" s="59"/>
      <c r="I15" s="59"/>
      <c r="K15" s="98"/>
      <c r="L15" s="98"/>
    </row>
    <row r="16" spans="1:15" ht="14.25" x14ac:dyDescent="0.2">
      <c r="A16" s="87" t="s">
        <v>32</v>
      </c>
      <c r="B16" s="87"/>
      <c r="C16" s="61"/>
      <c r="D16" t="s">
        <v>33</v>
      </c>
      <c r="E16" s="90" t="s">
        <v>34</v>
      </c>
      <c r="F16" s="90"/>
      <c r="G16" s="91" t="s">
        <v>35</v>
      </c>
      <c r="H16" s="91"/>
      <c r="K16" s="98"/>
      <c r="L16" s="98"/>
    </row>
    <row r="17" spans="1:14" ht="30" customHeight="1" x14ac:dyDescent="0.25">
      <c r="A17" s="88" t="s">
        <v>36</v>
      </c>
      <c r="B17" s="88"/>
      <c r="C17" s="84">
        <f>MIN(C14,C15*C16,G16)</f>
        <v>0</v>
      </c>
      <c r="D17" s="85"/>
      <c r="K17" s="68"/>
      <c r="L17" s="68"/>
    </row>
    <row r="18" spans="1:14" ht="29.25" customHeight="1" x14ac:dyDescent="0.2">
      <c r="A18" s="89" t="s">
        <v>37</v>
      </c>
      <c r="B18" s="89"/>
      <c r="C18" s="93"/>
      <c r="D18" s="93"/>
      <c r="E18" s="93"/>
      <c r="F18" s="89" t="s">
        <v>38</v>
      </c>
      <c r="G18" s="89"/>
      <c r="H18" s="78"/>
      <c r="I18" s="78"/>
      <c r="K18" s="68"/>
      <c r="L18" s="68"/>
    </row>
    <row r="19" spans="1:14" ht="13.5" customHeight="1" x14ac:dyDescent="0.2">
      <c r="K19" s="68"/>
      <c r="L19" s="68"/>
    </row>
    <row r="20" spans="1:14" x14ac:dyDescent="0.2">
      <c r="K20" s="68"/>
      <c r="L20" s="68"/>
    </row>
    <row r="21" spans="1:14" ht="15" x14ac:dyDescent="0.25">
      <c r="A21" s="31" t="s">
        <v>39</v>
      </c>
      <c r="N21" s="14" t="s">
        <v>40</v>
      </c>
    </row>
    <row r="22" spans="1:14" x14ac:dyDescent="0.2">
      <c r="A22" s="77" t="s">
        <v>41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</row>
    <row r="23" spans="1:14" s="4" customFormat="1" ht="25.5" x14ac:dyDescent="0.2">
      <c r="A23" s="18" t="s">
        <v>42</v>
      </c>
      <c r="B23" s="82" t="s">
        <v>43</v>
      </c>
      <c r="C23" s="82"/>
      <c r="D23" s="9" t="s">
        <v>10</v>
      </c>
      <c r="E23" s="9" t="s">
        <v>44</v>
      </c>
      <c r="F23" s="9" t="s">
        <v>45</v>
      </c>
      <c r="G23" s="9" t="s">
        <v>46</v>
      </c>
      <c r="H23" s="9" t="s">
        <v>47</v>
      </c>
      <c r="I23" s="9" t="s">
        <v>48</v>
      </c>
      <c r="J23" s="9" t="s">
        <v>49</v>
      </c>
      <c r="K23" s="9" t="s">
        <v>50</v>
      </c>
      <c r="L23" s="9" t="s">
        <v>51</v>
      </c>
    </row>
    <row r="24" spans="1:14" x14ac:dyDescent="0.2">
      <c r="A24" s="3">
        <v>1</v>
      </c>
      <c r="B24" s="80"/>
      <c r="C24" s="80"/>
      <c r="D24" s="10"/>
      <c r="E24" s="15" t="s">
        <v>52</v>
      </c>
      <c r="F24" s="24" cm="1">
        <f t="array" ref="F24">_xlfn.IFS(E24="above invert",0.5,E24="below invert",1,E24="ponding",1,E24=" ",0)</f>
        <v>0</v>
      </c>
      <c r="G24" s="11"/>
      <c r="H24" s="10"/>
      <c r="I24" s="10"/>
      <c r="J24" s="12">
        <f>H24*I24</f>
        <v>0</v>
      </c>
      <c r="K24" s="13">
        <f>D24*G24*J24*F24</f>
        <v>0</v>
      </c>
      <c r="L24" s="79"/>
    </row>
    <row r="25" spans="1:14" x14ac:dyDescent="0.2">
      <c r="A25" s="3">
        <v>2</v>
      </c>
      <c r="B25" s="80"/>
      <c r="C25" s="80"/>
      <c r="D25" s="10"/>
      <c r="E25" s="15" t="s">
        <v>52</v>
      </c>
      <c r="F25" s="24" cm="1">
        <f t="array" ref="F25">_xlfn.IFS(E25="above invert",0.5,E25="below invert",1,E25="ponding",1,E25=" ",0)</f>
        <v>0</v>
      </c>
      <c r="G25" s="11"/>
      <c r="H25" s="10"/>
      <c r="I25" s="10"/>
      <c r="J25" s="12">
        <f t="shared" ref="J25:J28" si="0">H25*I25</f>
        <v>0</v>
      </c>
      <c r="K25" s="13">
        <f>D25*G25*J25*F25</f>
        <v>0</v>
      </c>
      <c r="L25" s="79"/>
    </row>
    <row r="26" spans="1:14" x14ac:dyDescent="0.2">
      <c r="A26" s="3">
        <v>3</v>
      </c>
      <c r="B26" s="80"/>
      <c r="C26" s="80"/>
      <c r="D26" s="10"/>
      <c r="E26" s="15" t="s">
        <v>52</v>
      </c>
      <c r="F26" s="24" cm="1">
        <f t="array" ref="F26">_xlfn.IFS(E26="above invert",0.5,E26="below invert",1,E26="ponding",1,E26=" ",0)</f>
        <v>0</v>
      </c>
      <c r="G26" s="11"/>
      <c r="H26" s="10"/>
      <c r="I26" s="10"/>
      <c r="J26" s="12">
        <f t="shared" si="0"/>
        <v>0</v>
      </c>
      <c r="K26" s="13">
        <f>D26*G26*J26*F26</f>
        <v>0</v>
      </c>
      <c r="L26" s="79"/>
    </row>
    <row r="27" spans="1:14" x14ac:dyDescent="0.2">
      <c r="A27" s="3">
        <v>4</v>
      </c>
      <c r="B27" s="80"/>
      <c r="C27" s="80"/>
      <c r="D27" s="10"/>
      <c r="E27" s="15" t="s">
        <v>52</v>
      </c>
      <c r="F27" s="24" cm="1">
        <f t="array" ref="F27">_xlfn.IFS(E27="above invert",0.5,E27="below invert",1,E27="ponding",1,E27=" ",0)</f>
        <v>0</v>
      </c>
      <c r="G27" s="11"/>
      <c r="H27" s="10"/>
      <c r="I27" s="10"/>
      <c r="J27" s="12">
        <f t="shared" si="0"/>
        <v>0</v>
      </c>
      <c r="K27" s="13">
        <f>D27*G27*J27*F27</f>
        <v>0</v>
      </c>
      <c r="L27" s="79"/>
    </row>
    <row r="28" spans="1:14" x14ac:dyDescent="0.2">
      <c r="A28" s="3">
        <v>5</v>
      </c>
      <c r="B28" s="80"/>
      <c r="C28" s="80"/>
      <c r="D28" s="10"/>
      <c r="E28" s="15" t="s">
        <v>52</v>
      </c>
      <c r="F28" s="24" cm="1">
        <f t="array" ref="F28">_xlfn.IFS(E28="above invert",0.5,E28="below invert",1,E28="ponding",1,E28=" ",0)</f>
        <v>0</v>
      </c>
      <c r="G28" s="10"/>
      <c r="H28" s="10"/>
      <c r="I28" s="10"/>
      <c r="J28" s="12">
        <f t="shared" si="0"/>
        <v>0</v>
      </c>
      <c r="K28" s="13">
        <f>D28*G28*J28*F28</f>
        <v>0</v>
      </c>
      <c r="L28" s="79"/>
    </row>
    <row r="29" spans="1:14" x14ac:dyDescent="0.2">
      <c r="J29" s="62" t="s">
        <v>53</v>
      </c>
      <c r="K29" s="13">
        <f>SUM(K24:K28)</f>
        <v>0</v>
      </c>
      <c r="L29" s="79"/>
    </row>
    <row r="30" spans="1:14" x14ac:dyDescent="0.2">
      <c r="C30" s="14"/>
      <c r="D30" s="14"/>
      <c r="E30" s="14"/>
      <c r="F30" s="14"/>
      <c r="G30" s="14"/>
      <c r="H30" s="14"/>
      <c r="I30" s="14"/>
      <c r="J30" s="17" t="s">
        <v>54</v>
      </c>
      <c r="K30" s="16">
        <f>K29*7.48</f>
        <v>0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K31" s="17"/>
      <c r="L31" s="17"/>
    </row>
    <row r="32" spans="1:14" x14ac:dyDescent="0.2">
      <c r="A32" s="77" t="s">
        <v>55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9" t="s">
        <v>51</v>
      </c>
    </row>
    <row r="33" spans="1:14" x14ac:dyDescent="0.2">
      <c r="A33" s="76" t="s">
        <v>56</v>
      </c>
      <c r="B33" s="76"/>
      <c r="C33" s="76"/>
      <c r="D33" s="76"/>
      <c r="E33" s="76"/>
      <c r="F33" s="76"/>
      <c r="G33" s="76"/>
      <c r="H33" s="76"/>
      <c r="I33" s="76"/>
      <c r="J33" s="76"/>
      <c r="K33" s="32"/>
      <c r="L33" s="20"/>
    </row>
    <row r="34" spans="1:14" x14ac:dyDescent="0.2">
      <c r="A34" s="81" t="s">
        <v>57</v>
      </c>
      <c r="B34" s="81"/>
      <c r="C34" s="81"/>
      <c r="D34" s="81"/>
      <c r="E34" s="81"/>
      <c r="F34" s="81"/>
      <c r="G34" s="81"/>
      <c r="H34" s="81"/>
      <c r="I34" s="81"/>
      <c r="J34" s="81"/>
      <c r="K34" s="32"/>
      <c r="L34" s="20"/>
    </row>
    <row r="35" spans="1:14" ht="25.5" customHeight="1" x14ac:dyDescent="0.2">
      <c r="A35" s="76" t="s">
        <v>58</v>
      </c>
      <c r="B35" s="76"/>
      <c r="C35" s="76"/>
      <c r="D35" s="76"/>
      <c r="E35" s="76"/>
      <c r="F35" s="76"/>
      <c r="G35" s="76"/>
      <c r="H35" s="76"/>
      <c r="I35" s="76"/>
      <c r="J35" s="76"/>
      <c r="K35" s="33">
        <f>K33-K34</f>
        <v>0</v>
      </c>
      <c r="L35" s="20"/>
    </row>
    <row r="36" spans="1:14" x14ac:dyDescent="0.2">
      <c r="C36" s="14"/>
      <c r="D36" s="14"/>
      <c r="E36" s="14"/>
      <c r="F36" s="14"/>
      <c r="G36" s="14"/>
      <c r="H36" s="14"/>
      <c r="I36" s="14"/>
      <c r="K36" s="17"/>
      <c r="L36" s="17"/>
    </row>
    <row r="37" spans="1:14" x14ac:dyDescent="0.2">
      <c r="A37" s="77" t="s">
        <v>59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9" t="s">
        <v>51</v>
      </c>
    </row>
    <row r="38" spans="1:14" ht="25.5" customHeight="1" x14ac:dyDescent="0.2">
      <c r="A38" s="76" t="s">
        <v>60</v>
      </c>
      <c r="B38" s="76"/>
      <c r="C38" s="76"/>
      <c r="D38" s="76"/>
      <c r="E38" s="76"/>
      <c r="F38" s="76"/>
      <c r="G38" s="76"/>
      <c r="H38" s="76"/>
      <c r="I38" s="76"/>
      <c r="J38" s="76"/>
      <c r="K38" s="32"/>
      <c r="L38" s="20"/>
    </row>
    <row r="39" spans="1:14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2" t="s">
        <v>61</v>
      </c>
      <c r="K39" s="34">
        <f>IF(K38&gt;3.6,3.6,K38)</f>
        <v>0</v>
      </c>
      <c r="L39" s="20"/>
    </row>
    <row r="40" spans="1:14" x14ac:dyDescent="0.2">
      <c r="A40" s="81" t="s">
        <v>62</v>
      </c>
      <c r="B40" s="81"/>
      <c r="C40" s="81"/>
      <c r="D40" s="81"/>
      <c r="E40" s="81"/>
      <c r="F40" s="81"/>
      <c r="G40" s="81"/>
      <c r="H40" s="81"/>
      <c r="I40" s="81"/>
      <c r="J40" s="81" t="s">
        <v>62</v>
      </c>
      <c r="K40" s="32"/>
      <c r="L40" s="20"/>
    </row>
    <row r="41" spans="1:14" x14ac:dyDescent="0.2">
      <c r="A41" s="81" t="s">
        <v>63</v>
      </c>
      <c r="B41" s="81"/>
      <c r="C41" s="81"/>
      <c r="D41" s="81"/>
      <c r="E41" s="81"/>
      <c r="F41" s="81"/>
      <c r="G41" s="81"/>
      <c r="H41" s="81"/>
      <c r="I41" s="81"/>
      <c r="J41" s="81"/>
      <c r="K41" s="34">
        <f>K39*K40*6/12</f>
        <v>0</v>
      </c>
      <c r="L41" s="20"/>
    </row>
    <row r="42" spans="1:14" ht="13.5" customHeight="1" x14ac:dyDescent="0.2">
      <c r="A42" s="63"/>
      <c r="B42" s="62"/>
      <c r="C42" s="62"/>
      <c r="D42" s="62"/>
      <c r="E42" s="62"/>
      <c r="F42" s="62"/>
      <c r="G42" s="62"/>
      <c r="H42" s="62"/>
      <c r="I42" s="62"/>
      <c r="J42" s="17" t="s">
        <v>64</v>
      </c>
      <c r="K42" s="35">
        <f>K41*7.48</f>
        <v>0</v>
      </c>
      <c r="L42" s="20"/>
    </row>
    <row r="44" spans="1:14" ht="15.75" x14ac:dyDescent="0.25">
      <c r="A44" s="31" t="s">
        <v>65</v>
      </c>
      <c r="C44" s="2"/>
      <c r="N44" s="14" t="s">
        <v>40</v>
      </c>
    </row>
    <row r="45" spans="1:14" x14ac:dyDescent="0.2">
      <c r="A45" s="77" t="s">
        <v>41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</row>
    <row r="46" spans="1:14" s="4" customFormat="1" ht="25.5" x14ac:dyDescent="0.2">
      <c r="A46" s="18" t="s">
        <v>42</v>
      </c>
      <c r="B46" s="82" t="s">
        <v>43</v>
      </c>
      <c r="C46" s="82"/>
      <c r="D46" s="9" t="s">
        <v>10</v>
      </c>
      <c r="E46" s="9" t="s">
        <v>44</v>
      </c>
      <c r="F46" s="9" t="s">
        <v>45</v>
      </c>
      <c r="G46" s="9" t="s">
        <v>46</v>
      </c>
      <c r="H46" s="9" t="s">
        <v>47</v>
      </c>
      <c r="I46" s="9" t="s">
        <v>48</v>
      </c>
      <c r="J46" s="9" t="s">
        <v>49</v>
      </c>
      <c r="K46" s="9" t="s">
        <v>50</v>
      </c>
      <c r="L46" s="9" t="s">
        <v>51</v>
      </c>
    </row>
    <row r="47" spans="1:14" ht="12.75" customHeight="1" x14ac:dyDescent="0.2">
      <c r="A47" s="3">
        <v>1</v>
      </c>
      <c r="B47" s="80"/>
      <c r="C47" s="80"/>
      <c r="D47" s="10"/>
      <c r="E47" s="15" t="s">
        <v>52</v>
      </c>
      <c r="F47" s="24" cm="1">
        <f t="array" ref="F47">_xlfn.IFS(E47="above invert",0.5,E47="below invert",1,E47="ponding",1,E47=" ",0)</f>
        <v>0</v>
      </c>
      <c r="G47" s="11"/>
      <c r="H47" s="10"/>
      <c r="I47" s="10"/>
      <c r="J47" s="12">
        <f>H47*I47</f>
        <v>0</v>
      </c>
      <c r="K47" s="13">
        <f>D47*G47*J47*F47</f>
        <v>0</v>
      </c>
      <c r="L47" s="79"/>
    </row>
    <row r="48" spans="1:14" x14ac:dyDescent="0.2">
      <c r="A48" s="3">
        <v>2</v>
      </c>
      <c r="B48" s="80"/>
      <c r="C48" s="80"/>
      <c r="D48" s="10"/>
      <c r="E48" s="15" t="s">
        <v>52</v>
      </c>
      <c r="F48" s="24" cm="1">
        <f t="array" ref="F48">_xlfn.IFS(E48="above invert",0.5,E48="below invert",1,E48="ponding",1,E48=" ",0)</f>
        <v>0</v>
      </c>
      <c r="G48" s="11"/>
      <c r="H48" s="10"/>
      <c r="I48" s="10"/>
      <c r="J48" s="12">
        <f t="shared" ref="J48:J51" si="1">H48*I48</f>
        <v>0</v>
      </c>
      <c r="K48" s="13">
        <f>D48*G48*J48*F48</f>
        <v>0</v>
      </c>
      <c r="L48" s="79"/>
    </row>
    <row r="49" spans="1:12" x14ac:dyDescent="0.2">
      <c r="A49" s="3">
        <v>3</v>
      </c>
      <c r="B49" s="80"/>
      <c r="C49" s="80"/>
      <c r="D49" s="10"/>
      <c r="E49" s="15" t="s">
        <v>52</v>
      </c>
      <c r="F49" s="24" cm="1">
        <f t="array" ref="F49">_xlfn.IFS(E49="above invert",0.5,E49="below invert",1,E49="ponding",1,E49=" ",0)</f>
        <v>0</v>
      </c>
      <c r="G49" s="11"/>
      <c r="H49" s="10"/>
      <c r="I49" s="10"/>
      <c r="J49" s="12">
        <f t="shared" si="1"/>
        <v>0</v>
      </c>
      <c r="K49" s="13">
        <f>D49*G49*J49*F49</f>
        <v>0</v>
      </c>
      <c r="L49" s="79"/>
    </row>
    <row r="50" spans="1:12" x14ac:dyDescent="0.2">
      <c r="A50" s="3">
        <v>4</v>
      </c>
      <c r="B50" s="80"/>
      <c r="C50" s="80"/>
      <c r="D50" s="10"/>
      <c r="E50" s="15" t="s">
        <v>52</v>
      </c>
      <c r="F50" s="24" cm="1">
        <f t="array" ref="F50">_xlfn.IFS(E50="above invert",0.5,E50="below invert",1,E50="ponding",1,E50=" ",0)</f>
        <v>0</v>
      </c>
      <c r="G50" s="11"/>
      <c r="H50" s="10"/>
      <c r="I50" s="10"/>
      <c r="J50" s="12">
        <f t="shared" si="1"/>
        <v>0</v>
      </c>
      <c r="K50" s="13">
        <f>D50*G50*J50*F50</f>
        <v>0</v>
      </c>
      <c r="L50" s="79"/>
    </row>
    <row r="51" spans="1:12" x14ac:dyDescent="0.2">
      <c r="A51" s="3">
        <v>5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0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J52" s="62" t="s">
        <v>53</v>
      </c>
      <c r="K52" s="13">
        <f>SUM(K47:K51)</f>
        <v>0</v>
      </c>
      <c r="L52" s="79"/>
    </row>
    <row r="53" spans="1:12" x14ac:dyDescent="0.2">
      <c r="C53" s="14"/>
      <c r="D53" s="14"/>
      <c r="E53" s="14"/>
      <c r="F53" s="14"/>
      <c r="G53" s="14"/>
      <c r="H53" s="14"/>
      <c r="I53" s="14"/>
      <c r="J53" s="17" t="s">
        <v>54</v>
      </c>
      <c r="K53" s="16">
        <f>K52*7.48</f>
        <v>0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K54" s="17"/>
      <c r="L54" s="17"/>
    </row>
    <row r="55" spans="1:12" x14ac:dyDescent="0.2">
      <c r="A55" s="77" t="s">
        <v>55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9" t="s">
        <v>51</v>
      </c>
    </row>
    <row r="56" spans="1:12" x14ac:dyDescent="0.2">
      <c r="A56" s="76" t="s">
        <v>56</v>
      </c>
      <c r="B56" s="76"/>
      <c r="C56" s="76"/>
      <c r="D56" s="76"/>
      <c r="E56" s="76"/>
      <c r="F56" s="76"/>
      <c r="G56" s="76"/>
      <c r="H56" s="76"/>
      <c r="I56" s="76"/>
      <c r="J56" s="76"/>
      <c r="K56" s="36"/>
      <c r="L56" s="20"/>
    </row>
    <row r="57" spans="1:12" x14ac:dyDescent="0.2">
      <c r="A57" s="81" t="s">
        <v>57</v>
      </c>
      <c r="B57" s="81"/>
      <c r="C57" s="81"/>
      <c r="D57" s="81"/>
      <c r="E57" s="81"/>
      <c r="F57" s="81"/>
      <c r="G57" s="81"/>
      <c r="H57" s="81"/>
      <c r="I57" s="81"/>
      <c r="J57" s="81"/>
      <c r="K57" s="36"/>
      <c r="L57" s="20"/>
    </row>
    <row r="58" spans="1:12" ht="25.5" customHeight="1" x14ac:dyDescent="0.2">
      <c r="A58" s="76" t="s">
        <v>58</v>
      </c>
      <c r="B58" s="76"/>
      <c r="C58" s="76"/>
      <c r="D58" s="76"/>
      <c r="E58" s="76"/>
      <c r="F58" s="76"/>
      <c r="G58" s="76"/>
      <c r="H58" s="76"/>
      <c r="I58" s="76"/>
      <c r="J58" s="76"/>
      <c r="K58" s="33">
        <f>K56-K57</f>
        <v>0</v>
      </c>
      <c r="L58" s="20"/>
    </row>
    <row r="59" spans="1:12" x14ac:dyDescent="0.2">
      <c r="C59" s="14"/>
      <c r="D59" s="14"/>
      <c r="E59" s="14"/>
      <c r="F59" s="14"/>
      <c r="G59" s="14"/>
      <c r="H59" s="14"/>
      <c r="I59" s="14"/>
      <c r="K59" s="17"/>
      <c r="L59" s="17"/>
    </row>
    <row r="60" spans="1:12" x14ac:dyDescent="0.2">
      <c r="A60" s="77" t="s">
        <v>59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9" t="s">
        <v>51</v>
      </c>
    </row>
    <row r="61" spans="1:12" ht="25.5" customHeight="1" x14ac:dyDescent="0.2">
      <c r="A61" s="76" t="s">
        <v>60</v>
      </c>
      <c r="B61" s="76"/>
      <c r="C61" s="76"/>
      <c r="D61" s="76"/>
      <c r="E61" s="76"/>
      <c r="F61" s="76"/>
      <c r="G61" s="76"/>
      <c r="H61" s="76"/>
      <c r="I61" s="76"/>
      <c r="J61" s="76"/>
      <c r="K61" s="32"/>
      <c r="L61" s="20"/>
    </row>
    <row r="62" spans="1:12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2" t="s">
        <v>61</v>
      </c>
      <c r="K62" s="34">
        <f>IF(K61&gt;3.6,3.6,K61)</f>
        <v>0</v>
      </c>
      <c r="L62" s="20"/>
    </row>
    <row r="63" spans="1:12" x14ac:dyDescent="0.2">
      <c r="A63" s="81" t="s">
        <v>62</v>
      </c>
      <c r="B63" s="81"/>
      <c r="C63" s="81"/>
      <c r="D63" s="81"/>
      <c r="E63" s="81"/>
      <c r="F63" s="81"/>
      <c r="G63" s="81"/>
      <c r="H63" s="81"/>
      <c r="I63" s="81"/>
      <c r="J63" s="81" t="s">
        <v>62</v>
      </c>
      <c r="K63" s="36"/>
      <c r="L63" s="20"/>
    </row>
    <row r="64" spans="1:12" x14ac:dyDescent="0.2">
      <c r="A64" s="81" t="s">
        <v>63</v>
      </c>
      <c r="B64" s="81"/>
      <c r="C64" s="81"/>
      <c r="D64" s="81"/>
      <c r="E64" s="81"/>
      <c r="F64" s="81"/>
      <c r="G64" s="81"/>
      <c r="H64" s="81"/>
      <c r="I64" s="81"/>
      <c r="J64" s="81"/>
      <c r="K64" s="34">
        <f>K62*K63*6/12</f>
        <v>0</v>
      </c>
      <c r="L64" s="20"/>
    </row>
    <row r="65" spans="1:14" ht="13.5" customHeight="1" x14ac:dyDescent="0.2">
      <c r="A65" s="63"/>
      <c r="B65" s="62"/>
      <c r="C65" s="62"/>
      <c r="D65" s="62"/>
      <c r="E65" s="62"/>
      <c r="F65" s="62"/>
      <c r="G65" s="62"/>
      <c r="H65" s="62"/>
      <c r="I65" s="62"/>
      <c r="J65" s="17" t="s">
        <v>64</v>
      </c>
      <c r="K65" s="35">
        <f>K64*7.48</f>
        <v>0</v>
      </c>
      <c r="L65" s="20"/>
    </row>
    <row r="67" spans="1:14" ht="15.75" x14ac:dyDescent="0.25">
      <c r="A67" s="31" t="s">
        <v>66</v>
      </c>
      <c r="C67" s="2"/>
      <c r="N67" s="14" t="s">
        <v>40</v>
      </c>
    </row>
    <row r="68" spans="1:14" x14ac:dyDescent="0.2">
      <c r="A68" s="77" t="s">
        <v>41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</row>
    <row r="69" spans="1:14" s="4" customFormat="1" ht="25.5" x14ac:dyDescent="0.2">
      <c r="A69" s="18" t="s">
        <v>42</v>
      </c>
      <c r="B69" s="82" t="s">
        <v>43</v>
      </c>
      <c r="C69" s="82"/>
      <c r="D69" s="9" t="s">
        <v>10</v>
      </c>
      <c r="E69" s="9" t="s">
        <v>44</v>
      </c>
      <c r="F69" s="9" t="s">
        <v>45</v>
      </c>
      <c r="G69" s="9" t="s">
        <v>46</v>
      </c>
      <c r="H69" s="9" t="s">
        <v>47</v>
      </c>
      <c r="I69" s="9" t="s">
        <v>48</v>
      </c>
      <c r="J69" s="9" t="s">
        <v>49</v>
      </c>
      <c r="K69" s="9" t="s">
        <v>50</v>
      </c>
      <c r="L69" s="9" t="s">
        <v>51</v>
      </c>
    </row>
    <row r="70" spans="1:14" ht="12.75" customHeight="1" x14ac:dyDescent="0.2">
      <c r="A70" s="3">
        <v>1</v>
      </c>
      <c r="B70" s="80"/>
      <c r="C70" s="80"/>
      <c r="D70" s="10"/>
      <c r="E70" s="15" t="s">
        <v>52</v>
      </c>
      <c r="F70" s="24" cm="1">
        <f t="array" ref="F70">_xlfn.IFS(E70="above invert",0.5,E70="below invert",1,E70="ponding",1,E70=" ",0)</f>
        <v>0</v>
      </c>
      <c r="G70" s="11"/>
      <c r="H70" s="10"/>
      <c r="I70" s="10"/>
      <c r="J70" s="12">
        <f>H70*I70</f>
        <v>0</v>
      </c>
      <c r="K70" s="13">
        <f>D70*G70*J70*F70</f>
        <v>0</v>
      </c>
      <c r="L70" s="79"/>
    </row>
    <row r="71" spans="1:14" x14ac:dyDescent="0.2">
      <c r="A71" s="3">
        <v>2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 t="shared" ref="J71:J74" si="2">H71*I71</f>
        <v>0</v>
      </c>
      <c r="K71" s="13">
        <f>D71*G71*J71*F71</f>
        <v>0</v>
      </c>
      <c r="L71" s="79"/>
    </row>
    <row r="72" spans="1:14" x14ac:dyDescent="0.2">
      <c r="A72" s="3">
        <v>3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si="2"/>
        <v>0</v>
      </c>
      <c r="K72" s="13">
        <f>D72*G72*J72*F72</f>
        <v>0</v>
      </c>
      <c r="L72" s="79"/>
    </row>
    <row r="73" spans="1:14" x14ac:dyDescent="0.2">
      <c r="A73" s="3">
        <v>4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5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0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J75" s="62" t="s">
        <v>53</v>
      </c>
      <c r="K75" s="13">
        <f>SUM(K70:K74)</f>
        <v>0</v>
      </c>
      <c r="L75" s="79"/>
    </row>
    <row r="76" spans="1:14" x14ac:dyDescent="0.2">
      <c r="C76" s="14"/>
      <c r="D76" s="14"/>
      <c r="E76" s="14"/>
      <c r="F76" s="14"/>
      <c r="G76" s="14"/>
      <c r="H76" s="14"/>
      <c r="I76" s="14"/>
      <c r="J76" s="17" t="s">
        <v>54</v>
      </c>
      <c r="K76" s="16">
        <f>K75*7.48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K77" s="17"/>
      <c r="L77" s="17"/>
    </row>
    <row r="78" spans="1:14" x14ac:dyDescent="0.2">
      <c r="A78" s="77" t="s">
        <v>55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9" t="s">
        <v>51</v>
      </c>
    </row>
    <row r="79" spans="1:14" x14ac:dyDescent="0.2">
      <c r="A79" s="76" t="s">
        <v>56</v>
      </c>
      <c r="B79" s="76"/>
      <c r="C79" s="76"/>
      <c r="D79" s="76"/>
      <c r="E79" s="76"/>
      <c r="F79" s="76"/>
      <c r="G79" s="76"/>
      <c r="H79" s="76"/>
      <c r="I79" s="76"/>
      <c r="J79" s="76"/>
      <c r="K79" s="32"/>
      <c r="L79" s="20"/>
    </row>
    <row r="80" spans="1:14" x14ac:dyDescent="0.2">
      <c r="A80" s="81" t="s">
        <v>57</v>
      </c>
      <c r="B80" s="81"/>
      <c r="C80" s="81"/>
      <c r="D80" s="81"/>
      <c r="E80" s="81"/>
      <c r="F80" s="81"/>
      <c r="G80" s="81"/>
      <c r="H80" s="81"/>
      <c r="I80" s="81"/>
      <c r="J80" s="81"/>
      <c r="K80" s="32"/>
      <c r="L80" s="20"/>
    </row>
    <row r="81" spans="1:14" ht="25.5" customHeight="1" x14ac:dyDescent="0.2">
      <c r="A81" s="76" t="s">
        <v>58</v>
      </c>
      <c r="B81" s="76"/>
      <c r="C81" s="76"/>
      <c r="D81" s="76"/>
      <c r="E81" s="76"/>
      <c r="F81" s="76"/>
      <c r="G81" s="76"/>
      <c r="H81" s="76"/>
      <c r="I81" s="76"/>
      <c r="J81" s="76"/>
      <c r="K81" s="33">
        <f>K79-K80</f>
        <v>0</v>
      </c>
      <c r="L81" s="20"/>
    </row>
    <row r="82" spans="1:14" x14ac:dyDescent="0.2">
      <c r="C82" s="14"/>
      <c r="D82" s="14"/>
      <c r="E82" s="14"/>
      <c r="F82" s="14"/>
      <c r="G82" s="14"/>
      <c r="H82" s="14"/>
      <c r="I82" s="14"/>
      <c r="K82" s="17"/>
      <c r="L82" s="17"/>
    </row>
    <row r="83" spans="1:14" x14ac:dyDescent="0.2">
      <c r="A83" s="77" t="s">
        <v>59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9" t="s">
        <v>51</v>
      </c>
    </row>
    <row r="84" spans="1:14" ht="25.5" customHeight="1" x14ac:dyDescent="0.2">
      <c r="A84" s="76" t="s">
        <v>60</v>
      </c>
      <c r="B84" s="76"/>
      <c r="C84" s="76"/>
      <c r="D84" s="76"/>
      <c r="E84" s="76"/>
      <c r="F84" s="76"/>
      <c r="G84" s="76"/>
      <c r="H84" s="76"/>
      <c r="I84" s="76"/>
      <c r="J84" s="76"/>
      <c r="K84" s="32"/>
      <c r="L84" s="20"/>
    </row>
    <row r="85" spans="1:14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2" t="s">
        <v>61</v>
      </c>
      <c r="K85" s="34">
        <f>IF(K84&gt;3.6,3.6,K84)</f>
        <v>0</v>
      </c>
      <c r="L85" s="20"/>
    </row>
    <row r="86" spans="1:14" x14ac:dyDescent="0.2">
      <c r="A86" s="81" t="s">
        <v>62</v>
      </c>
      <c r="B86" s="81"/>
      <c r="C86" s="81"/>
      <c r="D86" s="81"/>
      <c r="E86" s="81"/>
      <c r="F86" s="81"/>
      <c r="G86" s="81"/>
      <c r="H86" s="81"/>
      <c r="I86" s="81"/>
      <c r="J86" s="81" t="s">
        <v>62</v>
      </c>
      <c r="K86" s="32"/>
      <c r="L86" s="20"/>
    </row>
    <row r="87" spans="1:14" x14ac:dyDescent="0.2">
      <c r="A87" s="81" t="s">
        <v>63</v>
      </c>
      <c r="B87" s="81"/>
      <c r="C87" s="81"/>
      <c r="D87" s="81"/>
      <c r="E87" s="81"/>
      <c r="F87" s="81"/>
      <c r="G87" s="81"/>
      <c r="H87" s="81"/>
      <c r="I87" s="81"/>
      <c r="J87" s="81"/>
      <c r="K87" s="34">
        <f>K85*K86*6/12</f>
        <v>0</v>
      </c>
      <c r="L87" s="20"/>
    </row>
    <row r="88" spans="1:14" ht="13.5" customHeight="1" x14ac:dyDescent="0.2">
      <c r="A88" s="63"/>
      <c r="B88" s="62"/>
      <c r="C88" s="62"/>
      <c r="D88" s="62"/>
      <c r="E88" s="62"/>
      <c r="F88" s="62"/>
      <c r="G88" s="62"/>
      <c r="H88" s="62"/>
      <c r="I88" s="62"/>
      <c r="J88" s="17" t="s">
        <v>64</v>
      </c>
      <c r="K88" s="35">
        <f>K87*7.48</f>
        <v>0</v>
      </c>
      <c r="L88" s="20"/>
    </row>
    <row r="90" spans="1:14" ht="15.75" x14ac:dyDescent="0.25">
      <c r="A90" s="31" t="s">
        <v>67</v>
      </c>
      <c r="C90" s="2"/>
      <c r="N90" s="14" t="s">
        <v>40</v>
      </c>
    </row>
    <row r="91" spans="1:14" x14ac:dyDescent="0.2">
      <c r="A91" s="77" t="s">
        <v>41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</row>
    <row r="92" spans="1:14" s="4" customFormat="1" ht="25.5" x14ac:dyDescent="0.2">
      <c r="A92" s="18" t="s">
        <v>42</v>
      </c>
      <c r="B92" s="82" t="s">
        <v>43</v>
      </c>
      <c r="C92" s="82"/>
      <c r="D92" s="9" t="s">
        <v>10</v>
      </c>
      <c r="E92" s="9" t="s">
        <v>44</v>
      </c>
      <c r="F92" s="9" t="s">
        <v>45</v>
      </c>
      <c r="G92" s="9" t="s">
        <v>46</v>
      </c>
      <c r="H92" s="9" t="s">
        <v>47</v>
      </c>
      <c r="I92" s="9" t="s">
        <v>48</v>
      </c>
      <c r="J92" s="9" t="s">
        <v>49</v>
      </c>
      <c r="K92" s="9" t="s">
        <v>50</v>
      </c>
      <c r="L92" s="9" t="s">
        <v>51</v>
      </c>
    </row>
    <row r="93" spans="1:14" ht="12.75" customHeight="1" x14ac:dyDescent="0.2">
      <c r="A93" s="3">
        <v>1</v>
      </c>
      <c r="B93" s="80"/>
      <c r="C93" s="80"/>
      <c r="D93" s="10"/>
      <c r="E93" s="15" t="s">
        <v>52</v>
      </c>
      <c r="F93" s="24" cm="1">
        <f t="array" ref="F93">_xlfn.IFS(E93="above invert",0.5,E93="below invert",1,E93="ponding",1,E93=" ",0)</f>
        <v>0</v>
      </c>
      <c r="G93" s="11"/>
      <c r="H93" s="10"/>
      <c r="I93" s="10"/>
      <c r="J93" s="12">
        <f>H93*I93</f>
        <v>0</v>
      </c>
      <c r="K93" s="13">
        <f>D93*G93*J93*F93</f>
        <v>0</v>
      </c>
      <c r="L93" s="79"/>
    </row>
    <row r="94" spans="1:14" x14ac:dyDescent="0.2">
      <c r="A94" s="3">
        <v>2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 t="shared" ref="J94:J97" si="3">H94*I94</f>
        <v>0</v>
      </c>
      <c r="K94" s="13">
        <f>D94*G94*J94*F94</f>
        <v>0</v>
      </c>
      <c r="L94" s="79"/>
    </row>
    <row r="95" spans="1:14" x14ac:dyDescent="0.2">
      <c r="A95" s="3">
        <v>3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si="3"/>
        <v>0</v>
      </c>
      <c r="K95" s="13">
        <f>D95*G95*J95*F95</f>
        <v>0</v>
      </c>
      <c r="L95" s="79"/>
    </row>
    <row r="96" spans="1:14" x14ac:dyDescent="0.2">
      <c r="A96" s="3">
        <v>4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5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0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J98" s="62" t="s">
        <v>53</v>
      </c>
      <c r="K98" s="13">
        <f>SUM(K93:K97)</f>
        <v>0</v>
      </c>
      <c r="L98" s="79"/>
    </row>
    <row r="99" spans="1:12" x14ac:dyDescent="0.2">
      <c r="C99" s="14"/>
      <c r="D99" s="14"/>
      <c r="E99" s="14"/>
      <c r="F99" s="14"/>
      <c r="G99" s="14"/>
      <c r="H99" s="14"/>
      <c r="I99" s="14"/>
      <c r="J99" s="17" t="s">
        <v>54</v>
      </c>
      <c r="K99" s="16">
        <f>K98*7.48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K100" s="17"/>
      <c r="L100" s="17"/>
    </row>
    <row r="101" spans="1:12" x14ac:dyDescent="0.2">
      <c r="A101" s="77" t="s">
        <v>55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9" t="s">
        <v>51</v>
      </c>
    </row>
    <row r="102" spans="1:12" x14ac:dyDescent="0.2">
      <c r="A102" s="76" t="s">
        <v>56</v>
      </c>
      <c r="B102" s="76"/>
      <c r="C102" s="76"/>
      <c r="D102" s="76"/>
      <c r="E102" s="76"/>
      <c r="F102" s="76"/>
      <c r="G102" s="76"/>
      <c r="H102" s="76"/>
      <c r="I102" s="76"/>
      <c r="J102" s="76"/>
      <c r="K102" s="32"/>
      <c r="L102" s="20"/>
    </row>
    <row r="103" spans="1:12" x14ac:dyDescent="0.2">
      <c r="A103" s="81" t="s">
        <v>57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32"/>
      <c r="L103" s="20"/>
    </row>
    <row r="104" spans="1:12" ht="25.5" customHeight="1" x14ac:dyDescent="0.2">
      <c r="A104" s="76" t="s">
        <v>58</v>
      </c>
      <c r="B104" s="76"/>
      <c r="C104" s="76"/>
      <c r="D104" s="76"/>
      <c r="E104" s="76"/>
      <c r="F104" s="76"/>
      <c r="G104" s="76"/>
      <c r="H104" s="76"/>
      <c r="I104" s="76"/>
      <c r="J104" s="76"/>
      <c r="K104" s="33">
        <f>K102-K103</f>
        <v>0</v>
      </c>
      <c r="L104" s="20"/>
    </row>
    <row r="105" spans="1:12" x14ac:dyDescent="0.2">
      <c r="C105" s="14"/>
      <c r="D105" s="14"/>
      <c r="E105" s="14"/>
      <c r="F105" s="14"/>
      <c r="G105" s="14"/>
      <c r="H105" s="14"/>
      <c r="I105" s="14"/>
      <c r="K105" s="17"/>
      <c r="L105" s="17"/>
    </row>
    <row r="106" spans="1:12" x14ac:dyDescent="0.2">
      <c r="A106" s="77" t="s">
        <v>59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9" t="s">
        <v>51</v>
      </c>
    </row>
    <row r="107" spans="1:12" ht="25.5" customHeight="1" x14ac:dyDescent="0.2">
      <c r="A107" s="76" t="s">
        <v>60</v>
      </c>
      <c r="B107" s="76"/>
      <c r="C107" s="76"/>
      <c r="D107" s="76"/>
      <c r="E107" s="76"/>
      <c r="F107" s="76"/>
      <c r="G107" s="76"/>
      <c r="H107" s="76"/>
      <c r="I107" s="76"/>
      <c r="J107" s="76"/>
      <c r="K107" s="32"/>
      <c r="L107" s="20"/>
    </row>
    <row r="108" spans="1:12" x14ac:dyDescent="0.2">
      <c r="A108" s="63"/>
      <c r="B108" s="63"/>
      <c r="C108" s="63"/>
      <c r="D108" s="63"/>
      <c r="E108" s="63"/>
      <c r="F108" s="63"/>
      <c r="G108" s="63"/>
      <c r="H108" s="63"/>
      <c r="I108" s="63"/>
      <c r="J108" s="62" t="s">
        <v>61</v>
      </c>
      <c r="K108" s="34">
        <f>IF(K107&gt;3.6,3.6,K107)</f>
        <v>0</v>
      </c>
      <c r="L108" s="20"/>
    </row>
    <row r="109" spans="1:12" x14ac:dyDescent="0.2">
      <c r="A109" s="81" t="s">
        <v>62</v>
      </c>
      <c r="B109" s="81"/>
      <c r="C109" s="81"/>
      <c r="D109" s="81"/>
      <c r="E109" s="81"/>
      <c r="F109" s="81"/>
      <c r="G109" s="81"/>
      <c r="H109" s="81"/>
      <c r="I109" s="81"/>
      <c r="J109" s="81" t="s">
        <v>62</v>
      </c>
      <c r="K109" s="32"/>
      <c r="L109" s="20"/>
    </row>
    <row r="110" spans="1:12" x14ac:dyDescent="0.2">
      <c r="A110" s="81" t="s">
        <v>63</v>
      </c>
      <c r="B110" s="81"/>
      <c r="C110" s="81"/>
      <c r="D110" s="81"/>
      <c r="E110" s="81"/>
      <c r="F110" s="81"/>
      <c r="G110" s="81"/>
      <c r="H110" s="81"/>
      <c r="I110" s="81"/>
      <c r="J110" s="81"/>
      <c r="K110" s="34">
        <f>K108*K109*6/12</f>
        <v>0</v>
      </c>
      <c r="L110" s="20"/>
    </row>
    <row r="111" spans="1:12" ht="13.5" customHeight="1" x14ac:dyDescent="0.2">
      <c r="A111" s="63"/>
      <c r="B111" s="62"/>
      <c r="C111" s="62"/>
      <c r="D111" s="62"/>
      <c r="E111" s="62"/>
      <c r="F111" s="62"/>
      <c r="G111" s="62"/>
      <c r="H111" s="62"/>
      <c r="I111" s="62"/>
      <c r="J111" s="17" t="s">
        <v>64</v>
      </c>
      <c r="K111" s="35">
        <f>K110*7.48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</row>
    <row r="113" spans="1:14" ht="15.75" x14ac:dyDescent="0.25">
      <c r="A113" s="31" t="s">
        <v>68</v>
      </c>
      <c r="C113" s="2"/>
      <c r="N113" s="14" t="s">
        <v>40</v>
      </c>
    </row>
    <row r="114" spans="1:14" x14ac:dyDescent="0.2">
      <c r="A114" s="77" t="s">
        <v>41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</row>
    <row r="115" spans="1:14" s="4" customFormat="1" ht="25.5" x14ac:dyDescent="0.2">
      <c r="A115" s="18" t="s">
        <v>42</v>
      </c>
      <c r="B115" s="82" t="s">
        <v>43</v>
      </c>
      <c r="C115" s="82"/>
      <c r="D115" s="9" t="s">
        <v>10</v>
      </c>
      <c r="E115" s="9" t="s">
        <v>44</v>
      </c>
      <c r="F115" s="9" t="s">
        <v>45</v>
      </c>
      <c r="G115" s="9" t="s">
        <v>46</v>
      </c>
      <c r="H115" s="9" t="s">
        <v>47</v>
      </c>
      <c r="I115" s="9" t="s">
        <v>48</v>
      </c>
      <c r="J115" s="9" t="s">
        <v>49</v>
      </c>
      <c r="K115" s="9" t="s">
        <v>50</v>
      </c>
      <c r="L115" s="9" t="s">
        <v>51</v>
      </c>
    </row>
    <row r="116" spans="1:14" ht="12.75" customHeight="1" x14ac:dyDescent="0.2">
      <c r="A116" s="3">
        <v>1</v>
      </c>
      <c r="B116" s="80"/>
      <c r="C116" s="80"/>
      <c r="D116" s="10"/>
      <c r="E116" s="15" t="s">
        <v>52</v>
      </c>
      <c r="F116" s="24" cm="1">
        <f t="array" ref="F116">_xlfn.IFS(E116="above invert",0.5,E116="below invert",1,E116="ponding",1,E116=" ",0)</f>
        <v>0</v>
      </c>
      <c r="G116" s="11"/>
      <c r="H116" s="10"/>
      <c r="I116" s="10"/>
      <c r="J116" s="12">
        <f>H116*I116</f>
        <v>0</v>
      </c>
      <c r="K116" s="13">
        <f>D116*G116*J116*F116</f>
        <v>0</v>
      </c>
      <c r="L116" s="79"/>
    </row>
    <row r="117" spans="1:14" x14ac:dyDescent="0.2">
      <c r="A117" s="3">
        <v>2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 t="shared" ref="J117:J120" si="4">H117*I117</f>
        <v>0</v>
      </c>
      <c r="K117" s="13">
        <f>D117*G117*J117*F117</f>
        <v>0</v>
      </c>
      <c r="L117" s="79"/>
    </row>
    <row r="118" spans="1:14" x14ac:dyDescent="0.2">
      <c r="A118" s="3">
        <v>3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si="4"/>
        <v>0</v>
      </c>
      <c r="K118" s="13">
        <f>D118*G118*J118*F118</f>
        <v>0</v>
      </c>
      <c r="L118" s="79"/>
    </row>
    <row r="119" spans="1:14" x14ac:dyDescent="0.2">
      <c r="A119" s="3">
        <v>4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5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0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J121" s="62" t="s">
        <v>53</v>
      </c>
      <c r="K121" s="13">
        <f>SUM(K116:K120)</f>
        <v>0</v>
      </c>
      <c r="L121" s="79"/>
    </row>
    <row r="122" spans="1:14" x14ac:dyDescent="0.2">
      <c r="C122" s="14"/>
      <c r="D122" s="14"/>
      <c r="E122" s="14"/>
      <c r="F122" s="14"/>
      <c r="G122" s="14"/>
      <c r="H122" s="14"/>
      <c r="I122" s="14"/>
      <c r="J122" s="17" t="s">
        <v>54</v>
      </c>
      <c r="K122" s="16">
        <f>K121*7.48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K123" s="17"/>
      <c r="L123" s="17"/>
    </row>
    <row r="124" spans="1:14" x14ac:dyDescent="0.2">
      <c r="A124" s="77" t="s">
        <v>55</v>
      </c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9" t="s">
        <v>51</v>
      </c>
    </row>
    <row r="125" spans="1:14" x14ac:dyDescent="0.2">
      <c r="A125" s="76" t="s">
        <v>56</v>
      </c>
      <c r="B125" s="76"/>
      <c r="C125" s="76"/>
      <c r="D125" s="76"/>
      <c r="E125" s="76"/>
      <c r="F125" s="76"/>
      <c r="G125" s="76"/>
      <c r="H125" s="76"/>
      <c r="I125" s="76"/>
      <c r="J125" s="76"/>
      <c r="K125" s="32"/>
      <c r="L125" s="20"/>
    </row>
    <row r="126" spans="1:14" x14ac:dyDescent="0.2">
      <c r="A126" s="81" t="s">
        <v>57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32"/>
      <c r="L126" s="20"/>
    </row>
    <row r="127" spans="1:14" ht="25.5" customHeight="1" x14ac:dyDescent="0.2">
      <c r="A127" s="76" t="s">
        <v>58</v>
      </c>
      <c r="B127" s="76"/>
      <c r="C127" s="76"/>
      <c r="D127" s="76"/>
      <c r="E127" s="76"/>
      <c r="F127" s="76"/>
      <c r="G127" s="76"/>
      <c r="H127" s="76"/>
      <c r="I127" s="76"/>
      <c r="J127" s="76"/>
      <c r="K127" s="33">
        <f>K125-K126</f>
        <v>0</v>
      </c>
      <c r="L127" s="20"/>
    </row>
    <row r="128" spans="1:14" x14ac:dyDescent="0.2">
      <c r="C128" s="14"/>
      <c r="D128" s="14"/>
      <c r="E128" s="14"/>
      <c r="F128" s="14"/>
      <c r="G128" s="14"/>
      <c r="H128" s="14"/>
      <c r="I128" s="14"/>
      <c r="K128" s="17"/>
      <c r="L128" s="17"/>
    </row>
    <row r="129" spans="1:12" x14ac:dyDescent="0.2">
      <c r="A129" s="77" t="s">
        <v>59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9" t="s">
        <v>51</v>
      </c>
    </row>
    <row r="130" spans="1:12" ht="25.5" customHeight="1" x14ac:dyDescent="0.2">
      <c r="A130" s="76" t="s">
        <v>60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32"/>
      <c r="L130" s="20"/>
    </row>
    <row r="131" spans="1:12" x14ac:dyDescent="0.2">
      <c r="A131" s="63"/>
      <c r="B131" s="63"/>
      <c r="C131" s="63"/>
      <c r="D131" s="63"/>
      <c r="E131" s="63"/>
      <c r="F131" s="63"/>
      <c r="G131" s="63"/>
      <c r="H131" s="63"/>
      <c r="I131" s="63"/>
      <c r="J131" s="62" t="s">
        <v>61</v>
      </c>
      <c r="K131" s="34">
        <f>IF(K130&gt;3.6,3.6,K130)</f>
        <v>0</v>
      </c>
      <c r="L131" s="20"/>
    </row>
    <row r="132" spans="1:12" x14ac:dyDescent="0.2">
      <c r="A132" s="81" t="s">
        <v>62</v>
      </c>
      <c r="B132" s="81"/>
      <c r="C132" s="81"/>
      <c r="D132" s="81"/>
      <c r="E132" s="81"/>
      <c r="F132" s="81"/>
      <c r="G132" s="81"/>
      <c r="H132" s="81"/>
      <c r="I132" s="81"/>
      <c r="J132" s="81" t="s">
        <v>62</v>
      </c>
      <c r="K132" s="32"/>
      <c r="L132" s="20"/>
    </row>
    <row r="133" spans="1:12" x14ac:dyDescent="0.2">
      <c r="A133" s="81" t="s">
        <v>63</v>
      </c>
      <c r="B133" s="81"/>
      <c r="C133" s="81"/>
      <c r="D133" s="81"/>
      <c r="E133" s="81"/>
      <c r="F133" s="81"/>
      <c r="G133" s="81"/>
      <c r="H133" s="81"/>
      <c r="I133" s="81"/>
      <c r="J133" s="81"/>
      <c r="K133" s="34">
        <f>K131*K132*6/12</f>
        <v>0</v>
      </c>
      <c r="L133" s="20"/>
    </row>
    <row r="134" spans="1:12" ht="13.5" customHeight="1" x14ac:dyDescent="0.2">
      <c r="A134" s="63"/>
      <c r="B134" s="62"/>
      <c r="C134" s="62"/>
      <c r="D134" s="62"/>
      <c r="E134" s="62"/>
      <c r="F134" s="62"/>
      <c r="G134" s="62"/>
      <c r="H134" s="62"/>
      <c r="I134" s="62"/>
      <c r="J134" s="17" t="s">
        <v>64</v>
      </c>
      <c r="K134" s="35">
        <f>K133*7.48</f>
        <v>0</v>
      </c>
      <c r="L134" s="20"/>
    </row>
  </sheetData>
  <mergeCells count="104">
    <mergeCell ref="A132:J132"/>
    <mergeCell ref="A133:J133"/>
    <mergeCell ref="A124:K124"/>
    <mergeCell ref="A125:J125"/>
    <mergeCell ref="A126:J126"/>
    <mergeCell ref="A127:J127"/>
    <mergeCell ref="A129:K129"/>
    <mergeCell ref="A130:J130"/>
    <mergeCell ref="A109:J109"/>
    <mergeCell ref="A110:J110"/>
    <mergeCell ref="A114:L114"/>
    <mergeCell ref="B115:C115"/>
    <mergeCell ref="B116:C116"/>
    <mergeCell ref="L116:L122"/>
    <mergeCell ref="B117:C117"/>
    <mergeCell ref="B118:C118"/>
    <mergeCell ref="B119:C119"/>
    <mergeCell ref="B120:C120"/>
    <mergeCell ref="A101:K101"/>
    <mergeCell ref="A102:J102"/>
    <mergeCell ref="A103:J103"/>
    <mergeCell ref="A104:J104"/>
    <mergeCell ref="A106:K106"/>
    <mergeCell ref="A107:J107"/>
    <mergeCell ref="A86:J86"/>
    <mergeCell ref="A87:J87"/>
    <mergeCell ref="A91:L91"/>
    <mergeCell ref="B92:C92"/>
    <mergeCell ref="B93:C93"/>
    <mergeCell ref="L93:L99"/>
    <mergeCell ref="B94:C94"/>
    <mergeCell ref="B95:C95"/>
    <mergeCell ref="B96:C96"/>
    <mergeCell ref="B97:C97"/>
    <mergeCell ref="A78:K78"/>
    <mergeCell ref="A79:J79"/>
    <mergeCell ref="A80:J80"/>
    <mergeCell ref="A81:J81"/>
    <mergeCell ref="A83:K83"/>
    <mergeCell ref="A84:J84"/>
    <mergeCell ref="A63:J63"/>
    <mergeCell ref="A64:J64"/>
    <mergeCell ref="A68:L68"/>
    <mergeCell ref="B69:C69"/>
    <mergeCell ref="B70:C70"/>
    <mergeCell ref="L70:L76"/>
    <mergeCell ref="B71:C71"/>
    <mergeCell ref="B72:C72"/>
    <mergeCell ref="B73:C73"/>
    <mergeCell ref="B74:C74"/>
    <mergeCell ref="A55:K55"/>
    <mergeCell ref="A56:J56"/>
    <mergeCell ref="A57:J57"/>
    <mergeCell ref="A58:J58"/>
    <mergeCell ref="A60:K60"/>
    <mergeCell ref="A61:J61"/>
    <mergeCell ref="A40:J40"/>
    <mergeCell ref="A41:J41"/>
    <mergeCell ref="A45:L45"/>
    <mergeCell ref="B46:C46"/>
    <mergeCell ref="B47:C47"/>
    <mergeCell ref="L47:L53"/>
    <mergeCell ref="B48:C48"/>
    <mergeCell ref="B49:C49"/>
    <mergeCell ref="B50:C50"/>
    <mergeCell ref="B51:C51"/>
    <mergeCell ref="A32:K32"/>
    <mergeCell ref="A33:J33"/>
    <mergeCell ref="A34:J34"/>
    <mergeCell ref="A35:J35"/>
    <mergeCell ref="A37:K37"/>
    <mergeCell ref="A38:J38"/>
    <mergeCell ref="A22:L22"/>
    <mergeCell ref="B23:C23"/>
    <mergeCell ref="B24:C24"/>
    <mergeCell ref="L24:L30"/>
    <mergeCell ref="B25:C25"/>
    <mergeCell ref="B26:C26"/>
    <mergeCell ref="B27:C27"/>
    <mergeCell ref="B28:C28"/>
    <mergeCell ref="E16:F16"/>
    <mergeCell ref="G16:H16"/>
    <mergeCell ref="A17:B17"/>
    <mergeCell ref="C17:D17"/>
    <mergeCell ref="A18:B18"/>
    <mergeCell ref="C18:E18"/>
    <mergeCell ref="F18:G18"/>
    <mergeCell ref="H18:I18"/>
    <mergeCell ref="A13:B13"/>
    <mergeCell ref="A14:B14"/>
    <mergeCell ref="C14:D14"/>
    <mergeCell ref="A15:B15"/>
    <mergeCell ref="C15:D15"/>
    <mergeCell ref="A16:B16"/>
    <mergeCell ref="K2:L16"/>
    <mergeCell ref="A5:B5"/>
    <mergeCell ref="C5:I5"/>
    <mergeCell ref="A7:B7"/>
    <mergeCell ref="A8:B8"/>
    <mergeCell ref="A9:B9"/>
    <mergeCell ref="E9:I10"/>
    <mergeCell ref="A10:B10"/>
    <mergeCell ref="A11:B11"/>
    <mergeCell ref="A12:B12"/>
  </mergeCells>
  <dataValidations count="3">
    <dataValidation allowBlank="1" showInputMessage="1" showErrorMessage="1" sqref="F116:F120 J1 F24:F28 F47:F51 F70:F74 F93:F97 E9" xr:uid="{BAC8512F-623D-4BF0-965A-983A535B90C9}"/>
    <dataValidation type="list" allowBlank="1" showInputMessage="1" showErrorMessage="1" sqref="E93:E97 E116:E120 E24:E28 E70:E74 E47:E51" xr:uid="{8D56448D-DFBA-4F24-9499-B94337959A73}">
      <formula1>"' ,above invert,below invert,ponding"</formula1>
    </dataValidation>
    <dataValidation type="list" allowBlank="1" showInputMessage="1" showErrorMessage="1" sqref="C7" xr:uid="{33AF20A6-00D0-477B-BF8D-CF6FC9775348}">
      <formula1>"'   ,30%,60%,98%,100%"</formula1>
    </dataValidation>
  </dataValidations>
  <pageMargins left="0.25" right="0.25" top="0.5" bottom="0.5" header="0.3" footer="0.3"/>
  <pageSetup scale="77" fitToHeight="0" orientation="landscape" verticalDpi="1200" r:id="rId1"/>
  <headerFooter>
    <oddFooter>&amp;LDate Printed: &amp;D&amp;CDesign DRC Page &amp;P of &amp;N</oddFooter>
  </headerFooter>
  <rowBreaks count="2" manualBreakCount="2">
    <brk id="43" max="11" man="1"/>
    <brk id="89" max="11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436BF-CAC0-42EF-ABA0-BDF483DB48C3}">
  <sheetPr>
    <pageSetUpPr fitToPage="1"/>
  </sheetPr>
  <dimension ref="A1:O135"/>
  <sheetViews>
    <sheetView zoomScaleNormal="100" zoomScaleSheetLayoutView="80" workbookViewId="0">
      <selection activeCell="A126" sqref="A126:J126"/>
    </sheetView>
  </sheetViews>
  <sheetFormatPr defaultRowHeight="12.75" x14ac:dyDescent="0.2"/>
  <cols>
    <col min="1" max="1" width="8.7109375" customWidth="1"/>
    <col min="2" max="2" width="18.5703125" customWidth="1"/>
    <col min="3" max="3" width="10.42578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8.28515625" customWidth="1"/>
    <col min="10" max="10" width="11.2851562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7"/>
    </row>
    <row r="3" spans="1:15" ht="18" x14ac:dyDescent="0.25">
      <c r="A3" s="1" t="s">
        <v>6</v>
      </c>
      <c r="J3" s="22" t="s">
        <v>7</v>
      </c>
      <c r="K3" s="97"/>
      <c r="L3" s="97"/>
      <c r="N3" s="7" t="s">
        <v>8</v>
      </c>
    </row>
    <row r="4" spans="1:15" ht="15" customHeight="1" x14ac:dyDescent="0.25">
      <c r="A4" s="1"/>
      <c r="K4" s="97"/>
      <c r="L4" s="97"/>
      <c r="N4" s="70" t="s">
        <v>9</v>
      </c>
      <c r="O4" s="70" t="s">
        <v>10</v>
      </c>
    </row>
    <row r="5" spans="1:15" ht="15" x14ac:dyDescent="0.25">
      <c r="A5" s="99" t="s">
        <v>11</v>
      </c>
      <c r="B5" s="99"/>
      <c r="C5" s="203" t="s">
        <v>117</v>
      </c>
      <c r="D5" s="203"/>
      <c r="E5" s="203"/>
      <c r="F5" s="203"/>
      <c r="I5" s="65"/>
      <c r="K5" s="97"/>
      <c r="L5" s="97"/>
      <c r="N5" s="8" t="s">
        <v>12</v>
      </c>
      <c r="O5" s="8">
        <v>0.41</v>
      </c>
    </row>
    <row r="6" spans="1:15" ht="15" x14ac:dyDescent="0.25">
      <c r="A6" s="69" t="s">
        <v>13</v>
      </c>
      <c r="B6" s="69"/>
      <c r="C6" s="74" t="s">
        <v>118</v>
      </c>
      <c r="D6" s="66"/>
      <c r="E6" s="66"/>
      <c r="F6" s="66"/>
      <c r="G6" s="69"/>
      <c r="H6" s="69"/>
      <c r="I6" s="69"/>
      <c r="K6" s="97"/>
      <c r="L6" s="97"/>
      <c r="N6" s="8" t="s">
        <v>14</v>
      </c>
      <c r="O6" s="8">
        <v>0.38</v>
      </c>
    </row>
    <row r="7" spans="1:15" ht="15.75" thickBot="1" x14ac:dyDescent="0.3">
      <c r="A7" s="111" t="s">
        <v>15</v>
      </c>
      <c r="B7" s="111"/>
      <c r="C7" s="44" t="s">
        <v>69</v>
      </c>
      <c r="D7" s="55"/>
      <c r="E7" s="26"/>
      <c r="F7" s="26"/>
      <c r="K7" s="97"/>
      <c r="L7" s="97"/>
      <c r="N7" s="8" t="s">
        <v>17</v>
      </c>
      <c r="O7" s="8">
        <v>0.28000000000000003</v>
      </c>
    </row>
    <row r="8" spans="1:15" ht="15" x14ac:dyDescent="0.25">
      <c r="A8" s="111" t="s">
        <v>18</v>
      </c>
      <c r="B8" s="111"/>
      <c r="C8" s="27">
        <f>SUMIF(J25:J503,"Subtotal Constructed Volume (gallons)",K25:K503)</f>
        <v>86847.786666666667</v>
      </c>
      <c r="D8" s="28" t="s">
        <v>19</v>
      </c>
      <c r="E8" s="49" t="s">
        <v>20</v>
      </c>
      <c r="F8" s="50"/>
      <c r="G8" s="50"/>
      <c r="H8" s="50"/>
      <c r="I8" s="51"/>
      <c r="K8" s="97"/>
      <c r="L8" s="97"/>
      <c r="N8" s="8" t="s">
        <v>21</v>
      </c>
      <c r="O8" s="8">
        <v>0.28000000000000003</v>
      </c>
    </row>
    <row r="9" spans="1:15" ht="15" customHeight="1" x14ac:dyDescent="0.25">
      <c r="A9" s="111" t="s">
        <v>22</v>
      </c>
      <c r="B9" s="111"/>
      <c r="C9" s="52">
        <f>SUMIF(J25:J503,"Infiltration Volume (gallons)",K25:K503)</f>
        <v>129254.40000000001</v>
      </c>
      <c r="D9" s="28" t="s">
        <v>19</v>
      </c>
      <c r="E9" s="100" t="str">
        <f>IF(ISNUMBER('Example CN &amp; Runoff Volume'!AU22),IF(C10=0,"To be determined",IF(C10&lt;'Example CN &amp; Runoff Volume'!AU22,"WARNING! DRC does not meet the 10-yr runoff volume",IF(C10&gt;'Example CN &amp; Runoff Volume'!AU26,"DRC exceeds the 100-yr runoff volume - DRC will be capped to calculate MWRD Contribution","DRC is between the 10- to 100-yr runoff volume"))),"Please fill in CN &amp; Runoff Volume tab")</f>
        <v>DRC exceeds the 100-yr runoff volume - DRC will be capped to calculate MWRD Contribution</v>
      </c>
      <c r="F9" s="101"/>
      <c r="G9" s="101"/>
      <c r="H9" s="101"/>
      <c r="I9" s="102"/>
      <c r="K9" s="97"/>
      <c r="L9" s="97"/>
      <c r="N9" s="8" t="s">
        <v>23</v>
      </c>
      <c r="O9" s="8">
        <v>0.25</v>
      </c>
    </row>
    <row r="10" spans="1:15" ht="15.75" thickBot="1" x14ac:dyDescent="0.3">
      <c r="A10" s="107" t="s">
        <v>70</v>
      </c>
      <c r="B10" s="108"/>
      <c r="C10" s="29">
        <f>SUM(C8:C9)</f>
        <v>216102.18666666668</v>
      </c>
      <c r="D10" s="30" t="s">
        <v>19</v>
      </c>
      <c r="E10" s="103"/>
      <c r="F10" s="104"/>
      <c r="G10" s="104"/>
      <c r="H10" s="104"/>
      <c r="I10" s="105"/>
      <c r="K10" s="97"/>
      <c r="L10" s="97"/>
    </row>
    <row r="11" spans="1:15" ht="15" customHeight="1" x14ac:dyDescent="0.25">
      <c r="A11" s="107" t="s">
        <v>71</v>
      </c>
      <c r="B11" s="108"/>
      <c r="C11" s="29">
        <f>IF(C10&gt;'Example CN &amp; Runoff Volume'!AU26,'Example CN &amp; Runoff Volume'!AU26,C10)</f>
        <v>169186.20232398875</v>
      </c>
      <c r="D11" s="30" t="s">
        <v>19</v>
      </c>
      <c r="H11" s="48"/>
      <c r="I11" s="48"/>
      <c r="J11" s="48"/>
      <c r="K11" s="97"/>
      <c r="L11" s="97"/>
      <c r="N11" s="8"/>
      <c r="O11" s="8"/>
    </row>
    <row r="12" spans="1:15" ht="15" customHeight="1" x14ac:dyDescent="0.25">
      <c r="A12" s="111" t="s">
        <v>26</v>
      </c>
      <c r="B12" s="111"/>
      <c r="C12" s="58">
        <f>C11-C8</f>
        <v>82338.415657322083</v>
      </c>
      <c r="D12" s="56" t="s">
        <v>19</v>
      </c>
      <c r="H12" s="48"/>
      <c r="I12" s="48"/>
      <c r="J12" s="48"/>
      <c r="K12" s="97"/>
      <c r="L12" s="97"/>
      <c r="N12" s="8"/>
      <c r="O12" s="8"/>
    </row>
    <row r="13" spans="1:15" ht="15" customHeight="1" x14ac:dyDescent="0.25">
      <c r="A13" s="202" t="s">
        <v>72</v>
      </c>
      <c r="B13" s="202"/>
      <c r="C13" s="114" t="s">
        <v>73</v>
      </c>
      <c r="D13" s="114"/>
      <c r="E13" s="114" t="s">
        <v>59</v>
      </c>
      <c r="F13" s="114"/>
      <c r="H13" s="48"/>
      <c r="I13" s="48"/>
      <c r="J13" s="48"/>
      <c r="K13" s="97"/>
      <c r="L13" s="97"/>
      <c r="N13" s="8"/>
      <c r="O13" s="8"/>
    </row>
    <row r="14" spans="1:15" ht="15" x14ac:dyDescent="0.25">
      <c r="A14" s="202"/>
      <c r="B14" s="202"/>
      <c r="C14" s="46">
        <f>IF(C8&lt;(0.9*'Example Design DRC'!C8),C8-(0.9*'Example Design DRC'!C8),IF(C8&gt;(1.1*'Example Design DRC'!C8),C8-(1.1*'Example Design DRC'!C8),0))</f>
        <v>-9155.0213333333377</v>
      </c>
      <c r="D14" s="28" t="s">
        <v>19</v>
      </c>
      <c r="E14" s="46">
        <f>IF(C12&lt;(0.9*'Example Design DRC'!C12),C12-(0.9*'Example Design DRC'!C12),IF(C12&gt;(1.1*'Example Design DRC'!C12),C12-(1.1*'Example Design DRC'!C12),0))</f>
        <v>13570.358434267793</v>
      </c>
      <c r="F14" s="28" t="s">
        <v>19</v>
      </c>
      <c r="H14" s="45"/>
      <c r="I14" s="45"/>
      <c r="J14" s="45"/>
      <c r="K14" s="97"/>
      <c r="L14" s="97"/>
      <c r="N14" s="8"/>
      <c r="O14" s="8"/>
    </row>
    <row r="15" spans="1:15" ht="15" x14ac:dyDescent="0.25">
      <c r="A15" s="197" t="s">
        <v>30</v>
      </c>
      <c r="B15" s="197"/>
      <c r="C15" s="204">
        <f>('Example Design DRC'!C8+C14)*'Example Design DRC'!C13+('Example Design DRC'!C12+E14)*'Example Design DRC'!F13</f>
        <v>466145.83542492322</v>
      </c>
      <c r="D15" s="109"/>
      <c r="F15" s="26"/>
      <c r="K15" s="97"/>
      <c r="L15" s="97"/>
      <c r="N15" s="8"/>
      <c r="O15" s="8"/>
    </row>
    <row r="16" spans="1:15" ht="14.25" customHeight="1" x14ac:dyDescent="0.2">
      <c r="A16" s="200" t="s">
        <v>142</v>
      </c>
      <c r="B16" s="86"/>
      <c r="C16" s="110">
        <v>1000000</v>
      </c>
      <c r="D16" s="110"/>
      <c r="E16" s="48"/>
      <c r="F16" s="48"/>
      <c r="G16" s="48"/>
      <c r="H16" s="48"/>
      <c r="I16" s="48"/>
      <c r="J16" s="48"/>
      <c r="K16" s="67"/>
      <c r="L16" s="67"/>
    </row>
    <row r="17" spans="1:14" ht="14.25" x14ac:dyDescent="0.2">
      <c r="A17" s="87" t="s">
        <v>32</v>
      </c>
      <c r="B17" s="87"/>
      <c r="C17" s="57">
        <v>0.5</v>
      </c>
      <c r="D17" s="66"/>
      <c r="E17" s="90" t="s">
        <v>34</v>
      </c>
      <c r="F17" s="90"/>
      <c r="G17" s="91">
        <v>500000</v>
      </c>
      <c r="H17" s="91"/>
      <c r="I17" s="48"/>
      <c r="J17" s="48"/>
      <c r="K17" s="67"/>
      <c r="L17" s="67"/>
    </row>
    <row r="18" spans="1:14" ht="28.5" customHeight="1" x14ac:dyDescent="0.25">
      <c r="A18" s="88" t="s">
        <v>74</v>
      </c>
      <c r="B18" s="88"/>
      <c r="C18" s="84">
        <f>MIN(C15,C16*C17,G17)</f>
        <v>466145.83542492322</v>
      </c>
      <c r="D18" s="85"/>
      <c r="E18" s="48"/>
      <c r="F18" s="48"/>
      <c r="G18" s="48"/>
      <c r="H18" s="48"/>
      <c r="I18" s="48"/>
      <c r="J18" s="48"/>
      <c r="K18" s="67"/>
      <c r="L18" s="67"/>
    </row>
    <row r="19" spans="1:14" ht="27" customHeight="1" x14ac:dyDescent="0.2">
      <c r="A19" s="89" t="s">
        <v>75</v>
      </c>
      <c r="B19" s="89"/>
      <c r="C19" s="93"/>
      <c r="D19" s="93"/>
      <c r="E19" s="93"/>
      <c r="F19" s="89" t="s">
        <v>38</v>
      </c>
      <c r="G19" s="89"/>
      <c r="H19" s="78"/>
      <c r="I19" s="78"/>
      <c r="K19" s="47"/>
      <c r="L19" s="47"/>
    </row>
    <row r="20" spans="1:14" x14ac:dyDescent="0.2">
      <c r="B20" s="5"/>
      <c r="K20" s="47"/>
      <c r="L20" s="47"/>
    </row>
    <row r="21" spans="1:14" x14ac:dyDescent="0.2">
      <c r="C21" s="115"/>
      <c r="D21" s="115"/>
      <c r="K21" s="68"/>
      <c r="L21" s="68"/>
    </row>
    <row r="22" spans="1:14" ht="15" x14ac:dyDescent="0.25">
      <c r="A22" s="31" t="s">
        <v>119</v>
      </c>
      <c r="N22" s="14" t="s">
        <v>40</v>
      </c>
    </row>
    <row r="23" spans="1:14" x14ac:dyDescent="0.2">
      <c r="A23" s="77" t="s">
        <v>41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</row>
    <row r="24" spans="1:14" s="4" customFormat="1" ht="25.5" x14ac:dyDescent="0.2">
      <c r="A24" s="18" t="s">
        <v>42</v>
      </c>
      <c r="B24" s="82" t="s">
        <v>43</v>
      </c>
      <c r="C24" s="82"/>
      <c r="D24" s="9" t="s">
        <v>10</v>
      </c>
      <c r="E24" s="9" t="s">
        <v>44</v>
      </c>
      <c r="F24" s="9" t="s">
        <v>45</v>
      </c>
      <c r="G24" s="9" t="s">
        <v>46</v>
      </c>
      <c r="H24" s="9" t="s">
        <v>47</v>
      </c>
      <c r="I24" s="9" t="s">
        <v>48</v>
      </c>
      <c r="J24" s="9" t="s">
        <v>49</v>
      </c>
      <c r="K24" s="9" t="s">
        <v>50</v>
      </c>
      <c r="L24" s="9" t="s">
        <v>51</v>
      </c>
    </row>
    <row r="25" spans="1:14" ht="12.75" customHeight="1" x14ac:dyDescent="0.2">
      <c r="A25" s="3">
        <v>1</v>
      </c>
      <c r="B25" s="80" t="s">
        <v>120</v>
      </c>
      <c r="C25" s="80"/>
      <c r="D25" s="10">
        <v>0.28000000000000003</v>
      </c>
      <c r="E25" s="15" t="s">
        <v>121</v>
      </c>
      <c r="F25" s="24" cm="1">
        <f t="array" ref="F25">_xlfn.IFS(E25="above invert",0.5,E25="below invert",1,E25="ponding",1,E25=" ",0)</f>
        <v>1</v>
      </c>
      <c r="G25" s="11">
        <f>2/12</f>
        <v>0.16666666666666666</v>
      </c>
      <c r="H25" s="10">
        <v>800</v>
      </c>
      <c r="I25" s="10">
        <v>4</v>
      </c>
      <c r="J25" s="12">
        <f>H25*I25</f>
        <v>3200</v>
      </c>
      <c r="K25" s="13">
        <f>D25*G25*J25*F25</f>
        <v>149.33333333333334</v>
      </c>
      <c r="L25" s="79" t="s">
        <v>122</v>
      </c>
    </row>
    <row r="26" spans="1:14" x14ac:dyDescent="0.2">
      <c r="A26" s="3">
        <v>2</v>
      </c>
      <c r="B26" s="80" t="s">
        <v>123</v>
      </c>
      <c r="C26" s="80"/>
      <c r="D26" s="10">
        <v>0.38</v>
      </c>
      <c r="E26" s="15" t="s">
        <v>121</v>
      </c>
      <c r="F26" s="24" cm="1">
        <f t="array" ref="F26">_xlfn.IFS(E26="above invert",0.5,E26="below invert",1,E26="ponding",1,E26=" ",0)</f>
        <v>1</v>
      </c>
      <c r="G26" s="11">
        <f>4/12</f>
        <v>0.33333333333333331</v>
      </c>
      <c r="H26" s="10">
        <v>800</v>
      </c>
      <c r="I26" s="10">
        <v>4</v>
      </c>
      <c r="J26" s="12">
        <f t="shared" ref="J26:J29" si="0">H26*I26</f>
        <v>3200</v>
      </c>
      <c r="K26" s="13">
        <f>D26*G26*J26*F26</f>
        <v>405.33333333333326</v>
      </c>
      <c r="L26" s="79"/>
    </row>
    <row r="27" spans="1:14" x14ac:dyDescent="0.2">
      <c r="A27" s="3">
        <v>3</v>
      </c>
      <c r="B27" s="80" t="s">
        <v>124</v>
      </c>
      <c r="C27" s="80"/>
      <c r="D27" s="10">
        <v>0.38</v>
      </c>
      <c r="E27" s="15" t="s">
        <v>121</v>
      </c>
      <c r="F27" s="24" cm="1">
        <f t="array" ref="F27">_xlfn.IFS(E27="above invert",0.5,E27="below invert",1,E27="ponding",1,E27=" ",0)</f>
        <v>1</v>
      </c>
      <c r="G27" s="11">
        <f>4/12</f>
        <v>0.33333333333333331</v>
      </c>
      <c r="H27" s="10">
        <v>800</v>
      </c>
      <c r="I27" s="10">
        <v>12</v>
      </c>
      <c r="J27" s="12">
        <f t="shared" si="0"/>
        <v>9600</v>
      </c>
      <c r="K27" s="13">
        <f>D27*G27*J27*F27</f>
        <v>1215.9999999999998</v>
      </c>
      <c r="L27" s="79"/>
    </row>
    <row r="28" spans="1:14" x14ac:dyDescent="0.2">
      <c r="A28" s="3">
        <v>4</v>
      </c>
      <c r="B28" s="80" t="s">
        <v>125</v>
      </c>
      <c r="C28" s="80"/>
      <c r="D28" s="10">
        <v>0.41</v>
      </c>
      <c r="E28" s="15" t="s">
        <v>121</v>
      </c>
      <c r="F28" s="24" cm="1">
        <f t="array" ref="F28">_xlfn.IFS(E28="above invert",0.5,E28="below invert",1,E28="ponding",1,E28=" ",0)</f>
        <v>1</v>
      </c>
      <c r="G28" s="11">
        <f>30/12</f>
        <v>2.5</v>
      </c>
      <c r="H28" s="10">
        <v>800</v>
      </c>
      <c r="I28" s="10">
        <v>12</v>
      </c>
      <c r="J28" s="12">
        <f t="shared" si="0"/>
        <v>9600</v>
      </c>
      <c r="K28" s="13">
        <f>D28*G28*J28*F28</f>
        <v>9840</v>
      </c>
      <c r="L28" s="79"/>
    </row>
    <row r="29" spans="1:14" x14ac:dyDescent="0.2">
      <c r="A29" s="3">
        <v>5</v>
      </c>
      <c r="B29" s="80"/>
      <c r="C29" s="80"/>
      <c r="D29" s="10"/>
      <c r="E29" s="15" t="s">
        <v>52</v>
      </c>
      <c r="F29" s="24" cm="1">
        <f t="array" ref="F29">_xlfn.IFS(E29="above invert",0.5,E29="below invert",1,E29="ponding",1,E29=" ",0)</f>
        <v>0</v>
      </c>
      <c r="G29" s="10"/>
      <c r="H29" s="10"/>
      <c r="I29" s="10"/>
      <c r="J29" s="12">
        <f t="shared" si="0"/>
        <v>0</v>
      </c>
      <c r="K29" s="13">
        <f>D29*G29*J29*F29</f>
        <v>0</v>
      </c>
      <c r="L29" s="79"/>
    </row>
    <row r="30" spans="1:14" x14ac:dyDescent="0.2">
      <c r="J30" s="62" t="s">
        <v>53</v>
      </c>
      <c r="K30" s="13">
        <f>SUM(K25:K29)</f>
        <v>11610.666666666666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J31" s="17" t="s">
        <v>54</v>
      </c>
      <c r="K31" s="16">
        <f>K30*7.48</f>
        <v>86847.786666666667</v>
      </c>
      <c r="L31" s="79"/>
    </row>
    <row r="32" spans="1:14" x14ac:dyDescent="0.2">
      <c r="C32" s="14"/>
      <c r="D32" s="14"/>
      <c r="E32" s="14"/>
      <c r="F32" s="14"/>
      <c r="G32" s="14"/>
      <c r="H32" s="14"/>
      <c r="I32" s="14"/>
      <c r="K32" s="17"/>
      <c r="L32" s="17"/>
    </row>
    <row r="33" spans="1:14" x14ac:dyDescent="0.2">
      <c r="A33" s="77" t="s">
        <v>55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9" t="s">
        <v>51</v>
      </c>
    </row>
    <row r="34" spans="1:14" x14ac:dyDescent="0.2">
      <c r="A34" s="76" t="s">
        <v>56</v>
      </c>
      <c r="B34" s="76"/>
      <c r="C34" s="76"/>
      <c r="D34" s="76"/>
      <c r="E34" s="76"/>
      <c r="F34" s="76"/>
      <c r="G34" s="76"/>
      <c r="H34" s="76"/>
      <c r="I34" s="76"/>
      <c r="J34" s="76"/>
      <c r="K34" s="32">
        <v>10</v>
      </c>
      <c r="L34" s="20" t="s">
        <v>126</v>
      </c>
    </row>
    <row r="35" spans="1:14" x14ac:dyDescent="0.2">
      <c r="A35" s="81" t="s">
        <v>57</v>
      </c>
      <c r="B35" s="81"/>
      <c r="C35" s="81"/>
      <c r="D35" s="81"/>
      <c r="E35" s="81"/>
      <c r="F35" s="81"/>
      <c r="G35" s="81"/>
      <c r="H35" s="81"/>
      <c r="I35" s="81"/>
      <c r="J35" s="81"/>
      <c r="K35" s="32">
        <v>6</v>
      </c>
      <c r="L35" s="20" t="s">
        <v>127</v>
      </c>
    </row>
    <row r="36" spans="1:14" ht="25.5" customHeight="1" x14ac:dyDescent="0.2">
      <c r="A36" s="76" t="s">
        <v>58</v>
      </c>
      <c r="B36" s="76"/>
      <c r="C36" s="76"/>
      <c r="D36" s="76"/>
      <c r="E36" s="76"/>
      <c r="F36" s="76"/>
      <c r="G36" s="76"/>
      <c r="H36" s="76"/>
      <c r="I36" s="76"/>
      <c r="J36" s="76"/>
      <c r="K36" s="33">
        <f>K34-K35</f>
        <v>4</v>
      </c>
      <c r="L36" s="20"/>
    </row>
    <row r="37" spans="1:14" x14ac:dyDescent="0.2">
      <c r="C37" s="14"/>
      <c r="D37" s="14"/>
      <c r="E37" s="14"/>
      <c r="F37" s="14"/>
      <c r="G37" s="14"/>
      <c r="H37" s="14"/>
      <c r="I37" s="14"/>
      <c r="K37" s="17"/>
      <c r="L37" s="17"/>
    </row>
    <row r="38" spans="1:14" x14ac:dyDescent="0.2">
      <c r="A38" s="77" t="s">
        <v>59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9" t="s">
        <v>51</v>
      </c>
    </row>
    <row r="39" spans="1:14" ht="25.5" customHeight="1" x14ac:dyDescent="0.2">
      <c r="A39" s="76" t="s">
        <v>60</v>
      </c>
      <c r="B39" s="76"/>
      <c r="C39" s="76"/>
      <c r="D39" s="76"/>
      <c r="E39" s="76"/>
      <c r="F39" s="76"/>
      <c r="G39" s="76"/>
      <c r="H39" s="76"/>
      <c r="I39" s="76"/>
      <c r="J39" s="76"/>
      <c r="K39" s="32">
        <v>5.3</v>
      </c>
      <c r="L39" s="20" t="s">
        <v>127</v>
      </c>
    </row>
    <row r="40" spans="1:14" x14ac:dyDescent="0.2">
      <c r="A40" s="63"/>
      <c r="B40" s="63"/>
      <c r="C40" s="63"/>
      <c r="D40" s="63"/>
      <c r="E40" s="63"/>
      <c r="F40" s="63"/>
      <c r="G40" s="63"/>
      <c r="H40" s="63"/>
      <c r="I40" s="63"/>
      <c r="J40" s="62" t="s">
        <v>61</v>
      </c>
      <c r="K40" s="34">
        <f>IF(K39&gt;3.6,3.6,K39)</f>
        <v>3.6</v>
      </c>
      <c r="L40" s="20"/>
    </row>
    <row r="41" spans="1:14" x14ac:dyDescent="0.2">
      <c r="A41" s="81" t="s">
        <v>62</v>
      </c>
      <c r="B41" s="81"/>
      <c r="C41" s="81"/>
      <c r="D41" s="81"/>
      <c r="E41" s="81"/>
      <c r="F41" s="81"/>
      <c r="G41" s="81"/>
      <c r="H41" s="81"/>
      <c r="I41" s="81"/>
      <c r="J41" s="81" t="s">
        <v>62</v>
      </c>
      <c r="K41" s="32">
        <f>J27</f>
        <v>9600</v>
      </c>
      <c r="L41" s="20" t="s">
        <v>128</v>
      </c>
    </row>
    <row r="42" spans="1:14" x14ac:dyDescent="0.2">
      <c r="A42" s="81" t="s">
        <v>63</v>
      </c>
      <c r="B42" s="81"/>
      <c r="C42" s="81"/>
      <c r="D42" s="81"/>
      <c r="E42" s="81"/>
      <c r="F42" s="81"/>
      <c r="G42" s="81"/>
      <c r="H42" s="81"/>
      <c r="I42" s="81"/>
      <c r="J42" s="81"/>
      <c r="K42" s="34">
        <f>K40*K41*6/12</f>
        <v>17280</v>
      </c>
      <c r="L42" s="20"/>
    </row>
    <row r="43" spans="1:14" ht="13.5" customHeight="1" x14ac:dyDescent="0.2">
      <c r="A43" s="63"/>
      <c r="B43" s="62"/>
      <c r="C43" s="62"/>
      <c r="D43" s="62"/>
      <c r="E43" s="62"/>
      <c r="F43" s="62"/>
      <c r="G43" s="62"/>
      <c r="H43" s="62"/>
      <c r="I43" s="62"/>
      <c r="J43" s="17" t="s">
        <v>64</v>
      </c>
      <c r="K43" s="35">
        <f>K42*7.48</f>
        <v>129254.40000000001</v>
      </c>
      <c r="L43" s="20"/>
    </row>
    <row r="45" spans="1:14" ht="15.75" x14ac:dyDescent="0.25">
      <c r="A45" s="38" t="s">
        <v>129</v>
      </c>
      <c r="C45" s="2"/>
      <c r="D45" s="39" t="s">
        <v>136</v>
      </c>
      <c r="N45" s="14" t="s">
        <v>40</v>
      </c>
    </row>
    <row r="46" spans="1:14" x14ac:dyDescent="0.2">
      <c r="A46" s="77" t="s">
        <v>41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</row>
    <row r="47" spans="1:14" s="4" customFormat="1" ht="25.5" x14ac:dyDescent="0.2">
      <c r="A47" s="18" t="s">
        <v>42</v>
      </c>
      <c r="B47" s="82" t="s">
        <v>43</v>
      </c>
      <c r="C47" s="82"/>
      <c r="D47" s="9" t="s">
        <v>10</v>
      </c>
      <c r="E47" s="9" t="s">
        <v>44</v>
      </c>
      <c r="F47" s="9" t="s">
        <v>45</v>
      </c>
      <c r="G47" s="9" t="s">
        <v>46</v>
      </c>
      <c r="H47" s="9" t="s">
        <v>47</v>
      </c>
      <c r="I47" s="9" t="s">
        <v>48</v>
      </c>
      <c r="J47" s="9" t="s">
        <v>49</v>
      </c>
      <c r="K47" s="9" t="s">
        <v>50</v>
      </c>
      <c r="L47" s="9" t="s">
        <v>51</v>
      </c>
    </row>
    <row r="48" spans="1:14" ht="12.75" customHeight="1" x14ac:dyDescent="0.2">
      <c r="A48" s="3">
        <v>1</v>
      </c>
      <c r="B48" s="80"/>
      <c r="C48" s="80"/>
      <c r="D48" s="10"/>
      <c r="E48" s="15" t="s">
        <v>52</v>
      </c>
      <c r="F48" s="24" cm="1">
        <f t="array" ref="F48">_xlfn.IFS(E48="above invert",0.5,E48="below invert",1,E48="ponding",1,E48=" ",0)</f>
        <v>0</v>
      </c>
      <c r="G48" s="11"/>
      <c r="H48" s="10"/>
      <c r="I48" s="10"/>
      <c r="J48" s="12">
        <f>H48*I48</f>
        <v>0</v>
      </c>
      <c r="K48" s="13">
        <f>D48*G48*J48*F48</f>
        <v>0</v>
      </c>
      <c r="L48" s="79"/>
    </row>
    <row r="49" spans="1:12" x14ac:dyDescent="0.2">
      <c r="A49" s="3">
        <v>2</v>
      </c>
      <c r="B49" s="80"/>
      <c r="C49" s="80"/>
      <c r="D49" s="10"/>
      <c r="E49" s="15" t="s">
        <v>52</v>
      </c>
      <c r="F49" s="24" cm="1">
        <f t="array" ref="F49">_xlfn.IFS(E49="above invert",0.5,E49="below invert",1,E49="ponding",1,E49=" ",0)</f>
        <v>0</v>
      </c>
      <c r="G49" s="11"/>
      <c r="H49" s="10"/>
      <c r="I49" s="10"/>
      <c r="J49" s="12">
        <f t="shared" ref="J49:J52" si="1">H49*I49</f>
        <v>0</v>
      </c>
      <c r="K49" s="13">
        <f>D49*G49*J49*F49</f>
        <v>0</v>
      </c>
      <c r="L49" s="79"/>
    </row>
    <row r="50" spans="1:12" x14ac:dyDescent="0.2">
      <c r="A50" s="3">
        <v>3</v>
      </c>
      <c r="B50" s="80"/>
      <c r="C50" s="80"/>
      <c r="D50" s="10"/>
      <c r="E50" s="15" t="s">
        <v>52</v>
      </c>
      <c r="F50" s="24" cm="1">
        <f t="array" ref="F50">_xlfn.IFS(E50="above invert",0.5,E50="below invert",1,E50="ponding",1,E50=" ",0)</f>
        <v>0</v>
      </c>
      <c r="G50" s="11"/>
      <c r="H50" s="10"/>
      <c r="I50" s="10"/>
      <c r="J50" s="12">
        <f t="shared" si="1"/>
        <v>0</v>
      </c>
      <c r="K50" s="13">
        <f>D50*G50*J50*F50</f>
        <v>0</v>
      </c>
      <c r="L50" s="79"/>
    </row>
    <row r="51" spans="1:12" x14ac:dyDescent="0.2">
      <c r="A51" s="3">
        <v>4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1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A52" s="3">
        <v>5</v>
      </c>
      <c r="B52" s="80"/>
      <c r="C52" s="80"/>
      <c r="D52" s="10"/>
      <c r="E52" s="15" t="s">
        <v>52</v>
      </c>
      <c r="F52" s="24" cm="1">
        <f t="array" ref="F52">_xlfn.IFS(E52="above invert",0.5,E52="below invert",1,E52="ponding",1,E52=" ",0)</f>
        <v>0</v>
      </c>
      <c r="G52" s="10"/>
      <c r="H52" s="10"/>
      <c r="I52" s="10"/>
      <c r="J52" s="12">
        <f t="shared" si="1"/>
        <v>0</v>
      </c>
      <c r="K52" s="13">
        <f>D52*G52*J52*F52</f>
        <v>0</v>
      </c>
      <c r="L52" s="79"/>
    </row>
    <row r="53" spans="1:12" x14ac:dyDescent="0.2">
      <c r="J53" s="62" t="s">
        <v>53</v>
      </c>
      <c r="K53" s="13">
        <f>SUM(K48:K52)</f>
        <v>0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J54" s="17" t="s">
        <v>54</v>
      </c>
      <c r="K54" s="16">
        <f>K53*7.48</f>
        <v>0</v>
      </c>
      <c r="L54" s="79"/>
    </row>
    <row r="55" spans="1:12" x14ac:dyDescent="0.2">
      <c r="C55" s="14"/>
      <c r="D55" s="14"/>
      <c r="E55" s="14"/>
      <c r="F55" s="14"/>
      <c r="G55" s="14"/>
      <c r="H55" s="14"/>
      <c r="I55" s="14"/>
      <c r="K55" s="17"/>
      <c r="L55" s="17"/>
    </row>
    <row r="56" spans="1:12" x14ac:dyDescent="0.2">
      <c r="A56" s="77" t="s">
        <v>55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9" t="s">
        <v>51</v>
      </c>
    </row>
    <row r="57" spans="1:12" x14ac:dyDescent="0.2">
      <c r="A57" s="76" t="s">
        <v>56</v>
      </c>
      <c r="B57" s="76"/>
      <c r="C57" s="76"/>
      <c r="D57" s="76"/>
      <c r="E57" s="76"/>
      <c r="F57" s="76"/>
      <c r="G57" s="76"/>
      <c r="H57" s="76"/>
      <c r="I57" s="76"/>
      <c r="J57" s="76"/>
      <c r="K57" s="32"/>
      <c r="L57" s="20"/>
    </row>
    <row r="58" spans="1:12" x14ac:dyDescent="0.2">
      <c r="A58" s="81" t="s">
        <v>57</v>
      </c>
      <c r="B58" s="81"/>
      <c r="C58" s="81"/>
      <c r="D58" s="81"/>
      <c r="E58" s="81"/>
      <c r="F58" s="81"/>
      <c r="G58" s="81"/>
      <c r="H58" s="81"/>
      <c r="I58" s="81"/>
      <c r="J58" s="81"/>
      <c r="K58" s="32"/>
      <c r="L58" s="20"/>
    </row>
    <row r="59" spans="1:12" ht="25.5" customHeight="1" x14ac:dyDescent="0.2">
      <c r="A59" s="76" t="s">
        <v>58</v>
      </c>
      <c r="B59" s="76"/>
      <c r="C59" s="76"/>
      <c r="D59" s="76"/>
      <c r="E59" s="76"/>
      <c r="F59" s="76"/>
      <c r="G59" s="76"/>
      <c r="H59" s="76"/>
      <c r="I59" s="76"/>
      <c r="J59" s="76"/>
      <c r="K59" s="33">
        <f>K57-K58</f>
        <v>0</v>
      </c>
      <c r="L59" s="20"/>
    </row>
    <row r="60" spans="1:12" x14ac:dyDescent="0.2">
      <c r="C60" s="14"/>
      <c r="D60" s="14"/>
      <c r="E60" s="14"/>
      <c r="F60" s="14"/>
      <c r="G60" s="14"/>
      <c r="H60" s="14"/>
      <c r="I60" s="14"/>
      <c r="K60" s="17"/>
      <c r="L60" s="17"/>
    </row>
    <row r="61" spans="1:12" x14ac:dyDescent="0.2">
      <c r="A61" s="77" t="s">
        <v>59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9" t="s">
        <v>51</v>
      </c>
    </row>
    <row r="62" spans="1:12" ht="25.5" customHeight="1" x14ac:dyDescent="0.2">
      <c r="A62" s="76" t="s">
        <v>60</v>
      </c>
      <c r="B62" s="76"/>
      <c r="C62" s="76"/>
      <c r="D62" s="76"/>
      <c r="E62" s="76"/>
      <c r="F62" s="76"/>
      <c r="G62" s="76"/>
      <c r="H62" s="76"/>
      <c r="I62" s="76"/>
      <c r="J62" s="76"/>
      <c r="K62" s="32"/>
      <c r="L62" s="20"/>
    </row>
    <row r="63" spans="1:12" x14ac:dyDescent="0.2">
      <c r="A63" s="63"/>
      <c r="B63" s="63"/>
      <c r="C63" s="63"/>
      <c r="D63" s="63"/>
      <c r="E63" s="63"/>
      <c r="F63" s="63"/>
      <c r="G63" s="63"/>
      <c r="H63" s="63"/>
      <c r="I63" s="63"/>
      <c r="J63" s="62" t="s">
        <v>61</v>
      </c>
      <c r="K63" s="34">
        <f>IF(K62&gt;3.6,3.6,K62)</f>
        <v>0</v>
      </c>
      <c r="L63" s="20"/>
    </row>
    <row r="64" spans="1:12" x14ac:dyDescent="0.2">
      <c r="A64" s="81" t="s">
        <v>62</v>
      </c>
      <c r="B64" s="81"/>
      <c r="C64" s="81"/>
      <c r="D64" s="81"/>
      <c r="E64" s="81"/>
      <c r="F64" s="81"/>
      <c r="G64" s="81"/>
      <c r="H64" s="81"/>
      <c r="I64" s="81"/>
      <c r="J64" s="81" t="s">
        <v>62</v>
      </c>
      <c r="K64" s="32"/>
      <c r="L64" s="20"/>
    </row>
    <row r="65" spans="1:14" x14ac:dyDescent="0.2">
      <c r="A65" s="81" t="s">
        <v>63</v>
      </c>
      <c r="B65" s="81"/>
      <c r="C65" s="81"/>
      <c r="D65" s="81"/>
      <c r="E65" s="81"/>
      <c r="F65" s="81"/>
      <c r="G65" s="81"/>
      <c r="H65" s="81"/>
      <c r="I65" s="81"/>
      <c r="J65" s="81"/>
      <c r="K65" s="34">
        <f>K63*K64*6/12</f>
        <v>0</v>
      </c>
      <c r="L65" s="20"/>
    </row>
    <row r="66" spans="1:14" ht="13.5" customHeight="1" x14ac:dyDescent="0.2">
      <c r="A66" s="63"/>
      <c r="B66" s="62"/>
      <c r="C66" s="62"/>
      <c r="D66" s="62"/>
      <c r="E66" s="62"/>
      <c r="F66" s="62"/>
      <c r="G66" s="62"/>
      <c r="H66" s="62"/>
      <c r="I66" s="62"/>
      <c r="J66" s="17" t="s">
        <v>64</v>
      </c>
      <c r="K66" s="35">
        <f>K65*7.48</f>
        <v>0</v>
      </c>
      <c r="L66" s="20"/>
    </row>
    <row r="68" spans="1:14" ht="15.75" x14ac:dyDescent="0.25">
      <c r="A68" s="31" t="s">
        <v>66</v>
      </c>
      <c r="C68" s="2"/>
      <c r="N68" s="14" t="s">
        <v>40</v>
      </c>
    </row>
    <row r="69" spans="1:14" x14ac:dyDescent="0.2">
      <c r="A69" s="77" t="s">
        <v>41</v>
      </c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</row>
    <row r="70" spans="1:14" s="4" customFormat="1" ht="25.5" x14ac:dyDescent="0.2">
      <c r="A70" s="18" t="s">
        <v>42</v>
      </c>
      <c r="B70" s="82" t="s">
        <v>43</v>
      </c>
      <c r="C70" s="82"/>
      <c r="D70" s="9" t="s">
        <v>10</v>
      </c>
      <c r="E70" s="9" t="s">
        <v>44</v>
      </c>
      <c r="F70" s="9" t="s">
        <v>45</v>
      </c>
      <c r="G70" s="9" t="s">
        <v>46</v>
      </c>
      <c r="H70" s="9" t="s">
        <v>47</v>
      </c>
      <c r="I70" s="9" t="s">
        <v>48</v>
      </c>
      <c r="J70" s="9" t="s">
        <v>49</v>
      </c>
      <c r="K70" s="9" t="s">
        <v>50</v>
      </c>
      <c r="L70" s="9" t="s">
        <v>51</v>
      </c>
    </row>
    <row r="71" spans="1:14" ht="12.75" customHeight="1" x14ac:dyDescent="0.2">
      <c r="A71" s="3">
        <v>1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>H71*I71</f>
        <v>0</v>
      </c>
      <c r="K71" s="13">
        <f>D71*G71*J71*F71</f>
        <v>0</v>
      </c>
      <c r="L71" s="79"/>
    </row>
    <row r="72" spans="1:14" x14ac:dyDescent="0.2">
      <c r="A72" s="3">
        <v>2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ref="J72:J75" si="2">H72*I72</f>
        <v>0</v>
      </c>
      <c r="K72" s="13">
        <f>D72*G72*J72*F72</f>
        <v>0</v>
      </c>
      <c r="L72" s="79"/>
    </row>
    <row r="73" spans="1:14" x14ac:dyDescent="0.2">
      <c r="A73" s="3">
        <v>3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4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1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A75" s="3">
        <v>5</v>
      </c>
      <c r="B75" s="80"/>
      <c r="C75" s="80"/>
      <c r="D75" s="10"/>
      <c r="E75" s="15" t="s">
        <v>52</v>
      </c>
      <c r="F75" s="24" cm="1">
        <f t="array" ref="F75">_xlfn.IFS(E75="above invert",0.5,E75="below invert",1,E75="ponding",1,E75=" ",0)</f>
        <v>0</v>
      </c>
      <c r="G75" s="10"/>
      <c r="H75" s="10"/>
      <c r="I75" s="10"/>
      <c r="J75" s="12">
        <f t="shared" si="2"/>
        <v>0</v>
      </c>
      <c r="K75" s="13">
        <f>D75*G75*J75*F75</f>
        <v>0</v>
      </c>
      <c r="L75" s="79"/>
    </row>
    <row r="76" spans="1:14" x14ac:dyDescent="0.2">
      <c r="J76" s="62" t="s">
        <v>53</v>
      </c>
      <c r="K76" s="13">
        <f>SUM(K71:K75)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J77" s="17" t="s">
        <v>54</v>
      </c>
      <c r="K77" s="16">
        <f>K76*7.48</f>
        <v>0</v>
      </c>
      <c r="L77" s="79"/>
    </row>
    <row r="78" spans="1:14" x14ac:dyDescent="0.2">
      <c r="C78" s="14"/>
      <c r="D78" s="14"/>
      <c r="E78" s="14"/>
      <c r="F78" s="14"/>
      <c r="G78" s="14"/>
      <c r="H78" s="14"/>
      <c r="I78" s="14"/>
      <c r="K78" s="17"/>
      <c r="L78" s="17"/>
    </row>
    <row r="79" spans="1:14" x14ac:dyDescent="0.2">
      <c r="A79" s="77" t="s">
        <v>55</v>
      </c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9" t="s">
        <v>51</v>
      </c>
    </row>
    <row r="80" spans="1:14" x14ac:dyDescent="0.2">
      <c r="A80" s="76" t="s">
        <v>56</v>
      </c>
      <c r="B80" s="76"/>
      <c r="C80" s="76"/>
      <c r="D80" s="76"/>
      <c r="E80" s="76"/>
      <c r="F80" s="76"/>
      <c r="G80" s="76"/>
      <c r="H80" s="76"/>
      <c r="I80" s="76"/>
      <c r="J80" s="76"/>
      <c r="K80" s="32"/>
      <c r="L80" s="20"/>
    </row>
    <row r="81" spans="1:14" x14ac:dyDescent="0.2">
      <c r="A81" s="81" t="s">
        <v>57</v>
      </c>
      <c r="B81" s="81"/>
      <c r="C81" s="81"/>
      <c r="D81" s="81"/>
      <c r="E81" s="81"/>
      <c r="F81" s="81"/>
      <c r="G81" s="81"/>
      <c r="H81" s="81"/>
      <c r="I81" s="81"/>
      <c r="J81" s="81"/>
      <c r="K81" s="32"/>
      <c r="L81" s="20"/>
    </row>
    <row r="82" spans="1:14" ht="25.5" customHeight="1" x14ac:dyDescent="0.2">
      <c r="A82" s="76" t="s">
        <v>58</v>
      </c>
      <c r="B82" s="76"/>
      <c r="C82" s="76"/>
      <c r="D82" s="76"/>
      <c r="E82" s="76"/>
      <c r="F82" s="76"/>
      <c r="G82" s="76"/>
      <c r="H82" s="76"/>
      <c r="I82" s="76"/>
      <c r="J82" s="76"/>
      <c r="K82" s="33">
        <f>K80-K81</f>
        <v>0</v>
      </c>
      <c r="L82" s="20"/>
    </row>
    <row r="83" spans="1:14" x14ac:dyDescent="0.2">
      <c r="C83" s="14"/>
      <c r="D83" s="14"/>
      <c r="E83" s="14"/>
      <c r="F83" s="14"/>
      <c r="G83" s="14"/>
      <c r="H83" s="14"/>
      <c r="I83" s="14"/>
      <c r="K83" s="17"/>
      <c r="L83" s="17"/>
    </row>
    <row r="84" spans="1:14" x14ac:dyDescent="0.2">
      <c r="A84" s="77" t="s">
        <v>59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9" t="s">
        <v>51</v>
      </c>
    </row>
    <row r="85" spans="1:14" ht="25.5" customHeight="1" x14ac:dyDescent="0.2">
      <c r="A85" s="76" t="s">
        <v>60</v>
      </c>
      <c r="B85" s="76"/>
      <c r="C85" s="76"/>
      <c r="D85" s="76"/>
      <c r="E85" s="76"/>
      <c r="F85" s="76"/>
      <c r="G85" s="76"/>
      <c r="H85" s="76"/>
      <c r="I85" s="76"/>
      <c r="J85" s="76"/>
      <c r="K85" s="32"/>
      <c r="L85" s="20"/>
    </row>
    <row r="86" spans="1:14" x14ac:dyDescent="0.2">
      <c r="A86" s="63"/>
      <c r="B86" s="63"/>
      <c r="C86" s="63"/>
      <c r="D86" s="63"/>
      <c r="E86" s="63"/>
      <c r="F86" s="63"/>
      <c r="G86" s="63"/>
      <c r="H86" s="63"/>
      <c r="I86" s="63"/>
      <c r="J86" s="62" t="s">
        <v>61</v>
      </c>
      <c r="K86" s="34">
        <f>IF(K85&gt;3.6,3.6,K85)</f>
        <v>0</v>
      </c>
      <c r="L86" s="20"/>
    </row>
    <row r="87" spans="1:14" x14ac:dyDescent="0.2">
      <c r="A87" s="81" t="s">
        <v>62</v>
      </c>
      <c r="B87" s="81"/>
      <c r="C87" s="81"/>
      <c r="D87" s="81"/>
      <c r="E87" s="81"/>
      <c r="F87" s="81"/>
      <c r="G87" s="81"/>
      <c r="H87" s="81"/>
      <c r="I87" s="81"/>
      <c r="J87" s="81" t="s">
        <v>62</v>
      </c>
      <c r="K87" s="32"/>
      <c r="L87" s="20"/>
    </row>
    <row r="88" spans="1:14" x14ac:dyDescent="0.2">
      <c r="A88" s="81" t="s">
        <v>63</v>
      </c>
      <c r="B88" s="81"/>
      <c r="C88" s="81"/>
      <c r="D88" s="81"/>
      <c r="E88" s="81"/>
      <c r="F88" s="81"/>
      <c r="G88" s="81"/>
      <c r="H88" s="81"/>
      <c r="I88" s="81"/>
      <c r="J88" s="81"/>
      <c r="K88" s="34">
        <f>K86*K87*6/12</f>
        <v>0</v>
      </c>
      <c r="L88" s="20"/>
    </row>
    <row r="89" spans="1:14" ht="13.5" customHeight="1" x14ac:dyDescent="0.2">
      <c r="A89" s="63"/>
      <c r="B89" s="62"/>
      <c r="C89" s="62"/>
      <c r="D89" s="62"/>
      <c r="E89" s="62"/>
      <c r="F89" s="62"/>
      <c r="G89" s="62"/>
      <c r="H89" s="62"/>
      <c r="I89" s="62"/>
      <c r="J89" s="17" t="s">
        <v>64</v>
      </c>
      <c r="K89" s="35">
        <f>K88*7.48</f>
        <v>0</v>
      </c>
      <c r="L89" s="20"/>
    </row>
    <row r="91" spans="1:14" ht="15.75" x14ac:dyDescent="0.25">
      <c r="A91" s="31" t="s">
        <v>67</v>
      </c>
      <c r="C91" s="2"/>
      <c r="N91" s="14" t="s">
        <v>40</v>
      </c>
    </row>
    <row r="92" spans="1:14" x14ac:dyDescent="0.2">
      <c r="A92" s="77" t="s">
        <v>41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</row>
    <row r="93" spans="1:14" s="4" customFormat="1" ht="25.5" x14ac:dyDescent="0.2">
      <c r="A93" s="18" t="s">
        <v>42</v>
      </c>
      <c r="B93" s="82" t="s">
        <v>43</v>
      </c>
      <c r="C93" s="82"/>
      <c r="D93" s="9" t="s">
        <v>10</v>
      </c>
      <c r="E93" s="9" t="s">
        <v>44</v>
      </c>
      <c r="F93" s="9" t="s">
        <v>45</v>
      </c>
      <c r="G93" s="9" t="s">
        <v>46</v>
      </c>
      <c r="H93" s="9" t="s">
        <v>47</v>
      </c>
      <c r="I93" s="9" t="s">
        <v>48</v>
      </c>
      <c r="J93" s="9" t="s">
        <v>49</v>
      </c>
      <c r="K93" s="9" t="s">
        <v>50</v>
      </c>
      <c r="L93" s="9" t="s">
        <v>51</v>
      </c>
    </row>
    <row r="94" spans="1:14" ht="12.75" customHeight="1" x14ac:dyDescent="0.2">
      <c r="A94" s="3">
        <v>1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>H94*I94</f>
        <v>0</v>
      </c>
      <c r="K94" s="13">
        <f>D94*G94*J94*F94</f>
        <v>0</v>
      </c>
      <c r="L94" s="79"/>
    </row>
    <row r="95" spans="1:14" x14ac:dyDescent="0.2">
      <c r="A95" s="3">
        <v>2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ref="J95:J98" si="3">H95*I95</f>
        <v>0</v>
      </c>
      <c r="K95" s="13">
        <f>D95*G95*J95*F95</f>
        <v>0</v>
      </c>
      <c r="L95" s="79"/>
    </row>
    <row r="96" spans="1:14" x14ac:dyDescent="0.2">
      <c r="A96" s="3">
        <v>3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4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1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A98" s="3">
        <v>5</v>
      </c>
      <c r="B98" s="80"/>
      <c r="C98" s="80"/>
      <c r="D98" s="10"/>
      <c r="E98" s="15" t="s">
        <v>52</v>
      </c>
      <c r="F98" s="24" cm="1">
        <f t="array" ref="F98">_xlfn.IFS(E98="above invert",0.5,E98="below invert",1,E98="ponding",1,E98=" ",0)</f>
        <v>0</v>
      </c>
      <c r="G98" s="10"/>
      <c r="H98" s="10"/>
      <c r="I98" s="10"/>
      <c r="J98" s="12">
        <f t="shared" si="3"/>
        <v>0</v>
      </c>
      <c r="K98" s="13">
        <f>D98*G98*J98*F98</f>
        <v>0</v>
      </c>
      <c r="L98" s="79"/>
    </row>
    <row r="99" spans="1:12" x14ac:dyDescent="0.2">
      <c r="J99" s="62" t="s">
        <v>53</v>
      </c>
      <c r="K99" s="13">
        <f>SUM(K94:K98)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J100" s="17" t="s">
        <v>54</v>
      </c>
      <c r="K100" s="16">
        <f>K99*7.48</f>
        <v>0</v>
      </c>
      <c r="L100" s="79"/>
    </row>
    <row r="101" spans="1:12" x14ac:dyDescent="0.2">
      <c r="C101" s="14"/>
      <c r="D101" s="14"/>
      <c r="E101" s="14"/>
      <c r="F101" s="14"/>
      <c r="G101" s="14"/>
      <c r="H101" s="14"/>
      <c r="I101" s="14"/>
      <c r="K101" s="17"/>
      <c r="L101" s="17"/>
    </row>
    <row r="102" spans="1:12" x14ac:dyDescent="0.2">
      <c r="A102" s="77" t="s">
        <v>55</v>
      </c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9" t="s">
        <v>51</v>
      </c>
    </row>
    <row r="103" spans="1:12" x14ac:dyDescent="0.2">
      <c r="A103" s="76" t="s">
        <v>56</v>
      </c>
      <c r="B103" s="76"/>
      <c r="C103" s="76"/>
      <c r="D103" s="76"/>
      <c r="E103" s="76"/>
      <c r="F103" s="76"/>
      <c r="G103" s="76"/>
      <c r="H103" s="76"/>
      <c r="I103" s="76"/>
      <c r="J103" s="76"/>
      <c r="K103" s="32"/>
      <c r="L103" s="20"/>
    </row>
    <row r="104" spans="1:12" x14ac:dyDescent="0.2">
      <c r="A104" s="81" t="s">
        <v>57</v>
      </c>
      <c r="B104" s="81"/>
      <c r="C104" s="81"/>
      <c r="D104" s="81"/>
      <c r="E104" s="81"/>
      <c r="F104" s="81"/>
      <c r="G104" s="81"/>
      <c r="H104" s="81"/>
      <c r="I104" s="81"/>
      <c r="J104" s="81"/>
      <c r="K104" s="32"/>
      <c r="L104" s="20"/>
    </row>
    <row r="105" spans="1:12" ht="25.5" customHeight="1" x14ac:dyDescent="0.2">
      <c r="A105" s="76" t="s">
        <v>58</v>
      </c>
      <c r="B105" s="76"/>
      <c r="C105" s="76"/>
      <c r="D105" s="76"/>
      <c r="E105" s="76"/>
      <c r="F105" s="76"/>
      <c r="G105" s="76"/>
      <c r="H105" s="76"/>
      <c r="I105" s="76"/>
      <c r="J105" s="76"/>
      <c r="K105" s="33">
        <f>K103-K104</f>
        <v>0</v>
      </c>
      <c r="L105" s="20"/>
    </row>
    <row r="106" spans="1:12" x14ac:dyDescent="0.2">
      <c r="C106" s="14"/>
      <c r="D106" s="14"/>
      <c r="E106" s="14"/>
      <c r="F106" s="14"/>
      <c r="G106" s="14"/>
      <c r="H106" s="14"/>
      <c r="I106" s="14"/>
      <c r="K106" s="17"/>
      <c r="L106" s="17"/>
    </row>
    <row r="107" spans="1:12" x14ac:dyDescent="0.2">
      <c r="A107" s="77" t="s">
        <v>59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9" t="s">
        <v>51</v>
      </c>
    </row>
    <row r="108" spans="1:12" ht="25.5" customHeight="1" x14ac:dyDescent="0.2">
      <c r="A108" s="76" t="s">
        <v>60</v>
      </c>
      <c r="B108" s="76"/>
      <c r="C108" s="76"/>
      <c r="D108" s="76"/>
      <c r="E108" s="76"/>
      <c r="F108" s="76"/>
      <c r="G108" s="76"/>
      <c r="H108" s="76"/>
      <c r="I108" s="76"/>
      <c r="J108" s="76"/>
      <c r="K108" s="32"/>
      <c r="L108" s="20"/>
    </row>
    <row r="109" spans="1:12" x14ac:dyDescent="0.2">
      <c r="A109" s="63"/>
      <c r="B109" s="63"/>
      <c r="C109" s="63"/>
      <c r="D109" s="63"/>
      <c r="E109" s="63"/>
      <c r="F109" s="63"/>
      <c r="G109" s="63"/>
      <c r="H109" s="63"/>
      <c r="I109" s="63"/>
      <c r="J109" s="62" t="s">
        <v>61</v>
      </c>
      <c r="K109" s="34">
        <f>IF(K108&gt;3.6,3.6,K108)</f>
        <v>0</v>
      </c>
      <c r="L109" s="20"/>
    </row>
    <row r="110" spans="1:12" x14ac:dyDescent="0.2">
      <c r="A110" s="81" t="s">
        <v>62</v>
      </c>
      <c r="B110" s="81"/>
      <c r="C110" s="81"/>
      <c r="D110" s="81"/>
      <c r="E110" s="81"/>
      <c r="F110" s="81"/>
      <c r="G110" s="81"/>
      <c r="H110" s="81"/>
      <c r="I110" s="81"/>
      <c r="J110" s="81" t="s">
        <v>62</v>
      </c>
      <c r="K110" s="32"/>
      <c r="L110" s="20"/>
    </row>
    <row r="111" spans="1:12" x14ac:dyDescent="0.2">
      <c r="A111" s="81" t="s">
        <v>63</v>
      </c>
      <c r="B111" s="81"/>
      <c r="C111" s="81"/>
      <c r="D111" s="81"/>
      <c r="E111" s="81"/>
      <c r="F111" s="81"/>
      <c r="G111" s="81"/>
      <c r="H111" s="81"/>
      <c r="I111" s="81"/>
      <c r="J111" s="81"/>
      <c r="K111" s="34">
        <f>K109*K110*6/12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  <c r="J112" s="17" t="s">
        <v>64</v>
      </c>
      <c r="K112" s="35">
        <f>K111*7.48</f>
        <v>0</v>
      </c>
      <c r="L112" s="20"/>
    </row>
    <row r="114" spans="1:14" ht="15.75" x14ac:dyDescent="0.25">
      <c r="A114" s="31" t="s">
        <v>68</v>
      </c>
      <c r="C114" s="2"/>
      <c r="N114" s="14" t="s">
        <v>40</v>
      </c>
    </row>
    <row r="115" spans="1:14" x14ac:dyDescent="0.2">
      <c r="A115" s="77" t="s">
        <v>41</v>
      </c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</row>
    <row r="116" spans="1:14" s="4" customFormat="1" ht="25.5" x14ac:dyDescent="0.2">
      <c r="A116" s="18" t="s">
        <v>42</v>
      </c>
      <c r="B116" s="82" t="s">
        <v>43</v>
      </c>
      <c r="C116" s="82"/>
      <c r="D116" s="9" t="s">
        <v>10</v>
      </c>
      <c r="E116" s="9" t="s">
        <v>44</v>
      </c>
      <c r="F116" s="9" t="s">
        <v>45</v>
      </c>
      <c r="G116" s="9" t="s">
        <v>46</v>
      </c>
      <c r="H116" s="9" t="s">
        <v>47</v>
      </c>
      <c r="I116" s="9" t="s">
        <v>48</v>
      </c>
      <c r="J116" s="9" t="s">
        <v>49</v>
      </c>
      <c r="K116" s="9" t="s">
        <v>50</v>
      </c>
      <c r="L116" s="9" t="s">
        <v>51</v>
      </c>
    </row>
    <row r="117" spans="1:14" ht="12.75" customHeight="1" x14ac:dyDescent="0.2">
      <c r="A117" s="3">
        <v>1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>H117*I117</f>
        <v>0</v>
      </c>
      <c r="K117" s="13">
        <f>D117*G117*J117*F117</f>
        <v>0</v>
      </c>
      <c r="L117" s="79"/>
    </row>
    <row r="118" spans="1:14" x14ac:dyDescent="0.2">
      <c r="A118" s="3">
        <v>2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ref="J118:J121" si="4">H118*I118</f>
        <v>0</v>
      </c>
      <c r="K118" s="13">
        <f>D118*G118*J118*F118</f>
        <v>0</v>
      </c>
      <c r="L118" s="79"/>
    </row>
    <row r="119" spans="1:14" x14ac:dyDescent="0.2">
      <c r="A119" s="3">
        <v>3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4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1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A121" s="3">
        <v>5</v>
      </c>
      <c r="B121" s="80"/>
      <c r="C121" s="80"/>
      <c r="D121" s="10"/>
      <c r="E121" s="15" t="s">
        <v>52</v>
      </c>
      <c r="F121" s="24" cm="1">
        <f t="array" ref="F121">_xlfn.IFS(E121="above invert",0.5,E121="below invert",1,E121="ponding",1,E121=" ",0)</f>
        <v>0</v>
      </c>
      <c r="G121" s="10"/>
      <c r="H121" s="10"/>
      <c r="I121" s="10"/>
      <c r="J121" s="12">
        <f t="shared" si="4"/>
        <v>0</v>
      </c>
      <c r="K121" s="13">
        <f>D121*G121*J121*F121</f>
        <v>0</v>
      </c>
      <c r="L121" s="79"/>
    </row>
    <row r="122" spans="1:14" x14ac:dyDescent="0.2">
      <c r="J122" s="62" t="s">
        <v>53</v>
      </c>
      <c r="K122" s="13">
        <f>SUM(K117:K121)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J123" s="17" t="s">
        <v>54</v>
      </c>
      <c r="K123" s="16">
        <f>K122*7.48</f>
        <v>0</v>
      </c>
      <c r="L123" s="79"/>
    </row>
    <row r="124" spans="1:14" x14ac:dyDescent="0.2">
      <c r="C124" s="14"/>
      <c r="D124" s="14"/>
      <c r="E124" s="14"/>
      <c r="F124" s="14"/>
      <c r="G124" s="14"/>
      <c r="H124" s="14"/>
      <c r="I124" s="14"/>
      <c r="K124" s="17"/>
      <c r="L124" s="17"/>
    </row>
    <row r="125" spans="1:14" x14ac:dyDescent="0.2">
      <c r="A125" s="77" t="s">
        <v>55</v>
      </c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9" t="s">
        <v>51</v>
      </c>
    </row>
    <row r="126" spans="1:14" x14ac:dyDescent="0.2">
      <c r="A126" s="76" t="s">
        <v>56</v>
      </c>
      <c r="B126" s="76"/>
      <c r="C126" s="76"/>
      <c r="D126" s="76"/>
      <c r="E126" s="76"/>
      <c r="F126" s="76"/>
      <c r="G126" s="76"/>
      <c r="H126" s="76"/>
      <c r="I126" s="76"/>
      <c r="J126" s="76"/>
      <c r="K126" s="32"/>
      <c r="L126" s="20"/>
    </row>
    <row r="127" spans="1:14" x14ac:dyDescent="0.2">
      <c r="A127" s="81" t="s">
        <v>57</v>
      </c>
      <c r="B127" s="81"/>
      <c r="C127" s="81"/>
      <c r="D127" s="81"/>
      <c r="E127" s="81"/>
      <c r="F127" s="81"/>
      <c r="G127" s="81"/>
      <c r="H127" s="81"/>
      <c r="I127" s="81"/>
      <c r="J127" s="81"/>
      <c r="K127" s="32"/>
      <c r="L127" s="20"/>
    </row>
    <row r="128" spans="1:14" ht="25.5" customHeight="1" x14ac:dyDescent="0.2">
      <c r="A128" s="76" t="s">
        <v>58</v>
      </c>
      <c r="B128" s="76"/>
      <c r="C128" s="76"/>
      <c r="D128" s="76"/>
      <c r="E128" s="76"/>
      <c r="F128" s="76"/>
      <c r="G128" s="76"/>
      <c r="H128" s="76"/>
      <c r="I128" s="76"/>
      <c r="J128" s="76"/>
      <c r="K128" s="33">
        <f>K126-K127</f>
        <v>0</v>
      </c>
      <c r="L128" s="20"/>
    </row>
    <row r="129" spans="1:12" x14ac:dyDescent="0.2">
      <c r="C129" s="14"/>
      <c r="D129" s="14"/>
      <c r="E129" s="14"/>
      <c r="F129" s="14"/>
      <c r="G129" s="14"/>
      <c r="H129" s="14"/>
      <c r="I129" s="14"/>
      <c r="K129" s="17"/>
      <c r="L129" s="17"/>
    </row>
    <row r="130" spans="1:12" x14ac:dyDescent="0.2">
      <c r="A130" s="77" t="s">
        <v>59</v>
      </c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9" t="s">
        <v>51</v>
      </c>
    </row>
    <row r="131" spans="1:12" ht="25.5" customHeight="1" x14ac:dyDescent="0.2">
      <c r="A131" s="76" t="s">
        <v>60</v>
      </c>
      <c r="B131" s="76"/>
      <c r="C131" s="76"/>
      <c r="D131" s="76"/>
      <c r="E131" s="76"/>
      <c r="F131" s="76"/>
      <c r="G131" s="76"/>
      <c r="H131" s="76"/>
      <c r="I131" s="76"/>
      <c r="J131" s="76"/>
      <c r="K131" s="32"/>
      <c r="L131" s="20"/>
    </row>
    <row r="132" spans="1:12" x14ac:dyDescent="0.2">
      <c r="A132" s="63"/>
      <c r="B132" s="63"/>
      <c r="C132" s="63"/>
      <c r="D132" s="63"/>
      <c r="E132" s="63"/>
      <c r="F132" s="63"/>
      <c r="G132" s="63"/>
      <c r="H132" s="63"/>
      <c r="I132" s="63"/>
      <c r="J132" s="62" t="s">
        <v>61</v>
      </c>
      <c r="K132" s="34">
        <f>IF(K131&gt;3.6,3.6,K131)</f>
        <v>0</v>
      </c>
      <c r="L132" s="20"/>
    </row>
    <row r="133" spans="1:12" x14ac:dyDescent="0.2">
      <c r="A133" s="81" t="s">
        <v>62</v>
      </c>
      <c r="B133" s="81"/>
      <c r="C133" s="81"/>
      <c r="D133" s="81"/>
      <c r="E133" s="81"/>
      <c r="F133" s="81"/>
      <c r="G133" s="81"/>
      <c r="H133" s="81"/>
      <c r="I133" s="81"/>
      <c r="J133" s="81" t="s">
        <v>62</v>
      </c>
      <c r="K133" s="32"/>
      <c r="L133" s="20"/>
    </row>
    <row r="134" spans="1:12" x14ac:dyDescent="0.2">
      <c r="A134" s="81" t="s">
        <v>63</v>
      </c>
      <c r="B134" s="81"/>
      <c r="C134" s="81"/>
      <c r="D134" s="81"/>
      <c r="E134" s="81"/>
      <c r="F134" s="81"/>
      <c r="G134" s="81"/>
      <c r="H134" s="81"/>
      <c r="I134" s="81"/>
      <c r="J134" s="81"/>
      <c r="K134" s="34">
        <f>K132*K133*6/12</f>
        <v>0</v>
      </c>
      <c r="L134" s="20"/>
    </row>
    <row r="135" spans="1:12" ht="13.5" customHeight="1" x14ac:dyDescent="0.2">
      <c r="A135" s="63"/>
      <c r="B135" s="62"/>
      <c r="C135" s="62"/>
      <c r="D135" s="62"/>
      <c r="E135" s="62"/>
      <c r="F135" s="62"/>
      <c r="G135" s="62"/>
      <c r="H135" s="62"/>
      <c r="I135" s="62"/>
      <c r="J135" s="17" t="s">
        <v>64</v>
      </c>
      <c r="K135" s="35">
        <f>K134*7.48</f>
        <v>0</v>
      </c>
      <c r="L135" s="20"/>
    </row>
  </sheetData>
  <mergeCells count="107">
    <mergeCell ref="C21:D21"/>
    <mergeCell ref="A5:B5"/>
    <mergeCell ref="C5:F5"/>
    <mergeCell ref="A7:B7"/>
    <mergeCell ref="A8:B8"/>
    <mergeCell ref="A9:B9"/>
    <mergeCell ref="A10:B10"/>
    <mergeCell ref="A15:B15"/>
    <mergeCell ref="C15:D15"/>
    <mergeCell ref="A11:B11"/>
    <mergeCell ref="C18:D18"/>
    <mergeCell ref="A39:J39"/>
    <mergeCell ref="A23:L23"/>
    <mergeCell ref="B24:C24"/>
    <mergeCell ref="B25:C25"/>
    <mergeCell ref="L25:L31"/>
    <mergeCell ref="B26:C26"/>
    <mergeCell ref="B27:C27"/>
    <mergeCell ref="B28:C28"/>
    <mergeCell ref="B29:C29"/>
    <mergeCell ref="A33:K33"/>
    <mergeCell ref="A34:J34"/>
    <mergeCell ref="A35:J35"/>
    <mergeCell ref="A36:J36"/>
    <mergeCell ref="A38:K38"/>
    <mergeCell ref="A62:J62"/>
    <mergeCell ref="A41:J41"/>
    <mergeCell ref="A42:J42"/>
    <mergeCell ref="A46:L46"/>
    <mergeCell ref="B47:C47"/>
    <mergeCell ref="B48:C48"/>
    <mergeCell ref="L48:L54"/>
    <mergeCell ref="B49:C49"/>
    <mergeCell ref="B50:C50"/>
    <mergeCell ref="B51:C51"/>
    <mergeCell ref="B52:C52"/>
    <mergeCell ref="A56:K56"/>
    <mergeCell ref="A57:J57"/>
    <mergeCell ref="A58:J58"/>
    <mergeCell ref="A59:J59"/>
    <mergeCell ref="A61:K61"/>
    <mergeCell ref="A85:J85"/>
    <mergeCell ref="A64:J64"/>
    <mergeCell ref="A65:J65"/>
    <mergeCell ref="A69:L69"/>
    <mergeCell ref="B70:C70"/>
    <mergeCell ref="B71:C71"/>
    <mergeCell ref="L71:L77"/>
    <mergeCell ref="B72:C72"/>
    <mergeCell ref="B73:C73"/>
    <mergeCell ref="B74:C74"/>
    <mergeCell ref="B75:C75"/>
    <mergeCell ref="A79:K79"/>
    <mergeCell ref="A80:J80"/>
    <mergeCell ref="A81:J81"/>
    <mergeCell ref="A82:J82"/>
    <mergeCell ref="A84:K84"/>
    <mergeCell ref="A108:J108"/>
    <mergeCell ref="A87:J87"/>
    <mergeCell ref="A88:J88"/>
    <mergeCell ref="A92:L92"/>
    <mergeCell ref="B93:C93"/>
    <mergeCell ref="B94:C94"/>
    <mergeCell ref="L94:L100"/>
    <mergeCell ref="B95:C95"/>
    <mergeCell ref="B96:C96"/>
    <mergeCell ref="B97:C97"/>
    <mergeCell ref="B98:C98"/>
    <mergeCell ref="A102:K102"/>
    <mergeCell ref="A103:J103"/>
    <mergeCell ref="A104:J104"/>
    <mergeCell ref="A105:J105"/>
    <mergeCell ref="A107:K107"/>
    <mergeCell ref="A133:J133"/>
    <mergeCell ref="A134:J134"/>
    <mergeCell ref="A125:K125"/>
    <mergeCell ref="A126:J126"/>
    <mergeCell ref="A127:J127"/>
    <mergeCell ref="A128:J128"/>
    <mergeCell ref="A130:K130"/>
    <mergeCell ref="A131:J131"/>
    <mergeCell ref="A110:J110"/>
    <mergeCell ref="A111:J111"/>
    <mergeCell ref="A115:L115"/>
    <mergeCell ref="B116:C116"/>
    <mergeCell ref="B117:C117"/>
    <mergeCell ref="L117:L123"/>
    <mergeCell ref="B118:C118"/>
    <mergeCell ref="B119:C119"/>
    <mergeCell ref="B120:C120"/>
    <mergeCell ref="B121:C121"/>
    <mergeCell ref="K2:L15"/>
    <mergeCell ref="A19:B19"/>
    <mergeCell ref="C19:E19"/>
    <mergeCell ref="F19:G19"/>
    <mergeCell ref="H19:I19"/>
    <mergeCell ref="E9:I10"/>
    <mergeCell ref="A12:B12"/>
    <mergeCell ref="C13:D13"/>
    <mergeCell ref="E13:F13"/>
    <mergeCell ref="A13:B14"/>
    <mergeCell ref="A16:B16"/>
    <mergeCell ref="C16:D16"/>
    <mergeCell ref="A17:B17"/>
    <mergeCell ref="E17:F17"/>
    <mergeCell ref="G17:H17"/>
    <mergeCell ref="A18:B18"/>
  </mergeCells>
  <dataValidations count="2">
    <dataValidation allowBlank="1" showInputMessage="1" showErrorMessage="1" sqref="F25:F29 J1 F117:F121 F48:F52 F71:F75 F94:F98 F8 E9" xr:uid="{240310E3-2E10-4336-91AF-C036D9BC2ACB}"/>
    <dataValidation type="list" allowBlank="1" showInputMessage="1" showErrorMessage="1" sqref="E94:E98 E117:E121 E48:E52 E71:E75 E25:E29" xr:uid="{6EC15173-7BB7-4208-9C8D-CF1F733351D7}">
      <formula1>"' ,above invert,below invert,ponding"</formula1>
    </dataValidation>
  </dataValidations>
  <pageMargins left="0.25" right="0.25" top="0.5" bottom="0.5" header="0.3" footer="0.3"/>
  <pageSetup scale="76" fitToHeight="0" orientation="landscape" verticalDpi="1200" r:id="rId1"/>
  <headerFooter>
    <oddFooter>&amp;LDate Printed: &amp;D&amp;CFinal Constructed DRC Page &amp;P of &amp;N</oddFooter>
  </headerFooter>
  <rowBreaks count="2" manualBreakCount="2">
    <brk id="44" max="11" man="1"/>
    <brk id="90" max="11" man="1"/>
  </row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45E8D-3846-4901-8540-3DCA59BC09AC}">
  <sheetPr>
    <pageSetUpPr fitToPage="1"/>
  </sheetPr>
  <dimension ref="A1:BN50"/>
  <sheetViews>
    <sheetView showGridLines="0" zoomScaleNormal="100" zoomScaleSheetLayoutView="110" zoomScalePageLayoutView="90" workbookViewId="0">
      <selection activeCell="AU26" sqref="AU26:AZ26"/>
    </sheetView>
  </sheetViews>
  <sheetFormatPr defaultColWidth="3.140625" defaultRowHeight="18" customHeight="1" x14ac:dyDescent="0.2"/>
  <cols>
    <col min="1" max="16" width="3.140625" style="41"/>
    <col min="17" max="17" width="3.140625" style="41" customWidth="1"/>
    <col min="18" max="28" width="3.140625" style="41"/>
    <col min="29" max="31" width="3.5703125" style="41" customWidth="1"/>
    <col min="32" max="16384" width="3.140625" style="41"/>
  </cols>
  <sheetData>
    <row r="1" spans="1:66" ht="7.35" customHeight="1" x14ac:dyDescent="0.2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40"/>
    </row>
    <row r="2" spans="1:66" ht="24" customHeight="1" x14ac:dyDescent="0.2">
      <c r="A2" s="151" t="s">
        <v>76</v>
      </c>
      <c r="B2" s="151"/>
      <c r="C2" s="151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36" t="s">
        <v>77</v>
      </c>
      <c r="R2" s="136"/>
      <c r="S2" s="136"/>
      <c r="T2" s="136"/>
      <c r="U2" s="136"/>
      <c r="V2" s="130" t="s">
        <v>16</v>
      </c>
      <c r="W2" s="130"/>
      <c r="X2" s="130"/>
      <c r="Y2" s="130"/>
      <c r="Z2" s="130"/>
      <c r="AC2" s="135" t="s">
        <v>78</v>
      </c>
      <c r="AD2" s="135"/>
      <c r="AE2" s="135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36" t="s">
        <v>79</v>
      </c>
      <c r="AT2" s="136"/>
      <c r="AU2" s="136"/>
      <c r="AV2" s="136"/>
      <c r="AW2" s="136"/>
      <c r="AX2" s="130" t="s">
        <v>16</v>
      </c>
      <c r="AY2" s="130"/>
      <c r="AZ2" s="130"/>
      <c r="BA2" s="130"/>
      <c r="BB2" s="130"/>
      <c r="BC2" s="40"/>
      <c r="BD2" s="42"/>
      <c r="BE2" s="71"/>
      <c r="BF2" s="71"/>
    </row>
    <row r="3" spans="1:66" ht="9.75" customHeight="1" x14ac:dyDescent="0.2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40"/>
    </row>
    <row r="4" spans="1:66" ht="18" customHeight="1" thickBot="1" x14ac:dyDescent="0.25">
      <c r="A4" s="127" t="s">
        <v>80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C4" s="127" t="s">
        <v>81</v>
      </c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40"/>
    </row>
    <row r="5" spans="1:66" ht="7.35" customHeight="1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40"/>
    </row>
    <row r="6" spans="1:66" ht="33" customHeight="1" x14ac:dyDescent="0.2">
      <c r="A6" s="140" t="s">
        <v>82</v>
      </c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C6" s="132" t="s">
        <v>83</v>
      </c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40"/>
    </row>
    <row r="7" spans="1:66" ht="7.35" customHeight="1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40"/>
    </row>
    <row r="8" spans="1:66" ht="33" customHeight="1" x14ac:dyDescent="0.25">
      <c r="A8" s="141"/>
      <c r="B8" s="142" t="s">
        <v>84</v>
      </c>
      <c r="C8" s="143"/>
      <c r="D8" s="143"/>
      <c r="E8" s="143"/>
      <c r="F8" s="143"/>
      <c r="G8" s="143"/>
      <c r="H8" s="144"/>
      <c r="I8" s="145" t="s">
        <v>85</v>
      </c>
      <c r="J8" s="146"/>
      <c r="K8" s="146"/>
      <c r="L8" s="146"/>
      <c r="M8" s="146"/>
      <c r="N8" s="147"/>
      <c r="O8" s="145" t="s">
        <v>86</v>
      </c>
      <c r="P8" s="146"/>
      <c r="Q8" s="147"/>
      <c r="R8" s="148" t="s">
        <v>87</v>
      </c>
      <c r="S8" s="149"/>
      <c r="T8" s="149"/>
      <c r="U8" s="149"/>
      <c r="V8" s="148" t="s">
        <v>88</v>
      </c>
      <c r="W8" s="148"/>
      <c r="X8" s="148"/>
      <c r="Y8" s="148"/>
      <c r="Z8" s="118"/>
      <c r="AC8" s="118"/>
      <c r="AD8" s="72" t="s">
        <v>89</v>
      </c>
      <c r="AE8" s="117" t="s">
        <v>90</v>
      </c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21"/>
      <c r="AT8" s="122"/>
      <c r="AU8" s="133">
        <f>R17</f>
        <v>0.8</v>
      </c>
      <c r="AV8" s="134"/>
      <c r="AW8" s="134"/>
      <c r="AX8" s="134"/>
      <c r="AY8" s="134"/>
      <c r="AZ8" s="134"/>
      <c r="BA8" s="116" t="s">
        <v>91</v>
      </c>
      <c r="BB8" s="117"/>
      <c r="BC8" s="40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</row>
    <row r="9" spans="1:66" ht="33" customHeight="1" x14ac:dyDescent="0.2">
      <c r="A9" s="141"/>
      <c r="B9" s="165" t="s">
        <v>137</v>
      </c>
      <c r="C9" s="165"/>
      <c r="D9" s="165"/>
      <c r="E9" s="165"/>
      <c r="F9" s="165"/>
      <c r="G9" s="165"/>
      <c r="H9" s="165"/>
      <c r="I9" s="155" t="s">
        <v>138</v>
      </c>
      <c r="J9" s="156"/>
      <c r="K9" s="156"/>
      <c r="L9" s="156"/>
      <c r="M9" s="156"/>
      <c r="N9" s="157"/>
      <c r="O9" s="158">
        <v>98</v>
      </c>
      <c r="P9" s="159"/>
      <c r="Q9" s="160"/>
      <c r="R9" s="161">
        <v>0.1</v>
      </c>
      <c r="S9" s="161"/>
      <c r="T9" s="161"/>
      <c r="U9" s="161"/>
      <c r="V9" s="119">
        <f t="shared" ref="V9:V15" si="0">IF(ISNUMBER(R9),O9*R9,"")</f>
        <v>9.8000000000000007</v>
      </c>
      <c r="W9" s="119"/>
      <c r="X9" s="119"/>
      <c r="Y9" s="119"/>
      <c r="Z9" s="118"/>
      <c r="AC9" s="118"/>
      <c r="AD9" s="72" t="s">
        <v>92</v>
      </c>
      <c r="AE9" s="120" t="s">
        <v>93</v>
      </c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1"/>
      <c r="AT9" s="122"/>
      <c r="AU9" s="133">
        <f>V21</f>
        <v>93.499999999999986</v>
      </c>
      <c r="AV9" s="133"/>
      <c r="AW9" s="133"/>
      <c r="AX9" s="133"/>
      <c r="AY9" s="133"/>
      <c r="AZ9" s="133"/>
      <c r="BA9" s="116"/>
      <c r="BB9" s="117"/>
      <c r="BC9" s="40"/>
    </row>
    <row r="10" spans="1:66" ht="33" customHeight="1" x14ac:dyDescent="0.2">
      <c r="A10" s="141"/>
      <c r="B10" s="152" t="s">
        <v>139</v>
      </c>
      <c r="C10" s="153"/>
      <c r="D10" s="153"/>
      <c r="E10" s="153"/>
      <c r="F10" s="153"/>
      <c r="G10" s="153"/>
      <c r="H10" s="154"/>
      <c r="I10" s="155" t="s">
        <v>138</v>
      </c>
      <c r="J10" s="156"/>
      <c r="K10" s="156"/>
      <c r="L10" s="156"/>
      <c r="M10" s="156"/>
      <c r="N10" s="157"/>
      <c r="O10" s="158">
        <v>80</v>
      </c>
      <c r="P10" s="159"/>
      <c r="Q10" s="160"/>
      <c r="R10" s="161">
        <v>0.2</v>
      </c>
      <c r="S10" s="161"/>
      <c r="T10" s="161"/>
      <c r="U10" s="161"/>
      <c r="V10" s="162">
        <f t="shared" si="0"/>
        <v>16</v>
      </c>
      <c r="W10" s="163"/>
      <c r="X10" s="163"/>
      <c r="Y10" s="164"/>
      <c r="Z10" s="118"/>
      <c r="AC10" s="118"/>
      <c r="AD10" s="72" t="s">
        <v>94</v>
      </c>
      <c r="AE10" s="120" t="s">
        <v>95</v>
      </c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1"/>
      <c r="AT10" s="122"/>
      <c r="AU10" s="123">
        <v>5.15</v>
      </c>
      <c r="AV10" s="123"/>
      <c r="AW10" s="123"/>
      <c r="AX10" s="123"/>
      <c r="AY10" s="123"/>
      <c r="AZ10" s="123"/>
      <c r="BA10" s="116" t="s">
        <v>96</v>
      </c>
      <c r="BB10" s="117"/>
      <c r="BC10" s="40"/>
    </row>
    <row r="11" spans="1:66" ht="33" customHeight="1" x14ac:dyDescent="0.2">
      <c r="A11" s="141"/>
      <c r="B11" s="152" t="s">
        <v>140</v>
      </c>
      <c r="C11" s="153"/>
      <c r="D11" s="153"/>
      <c r="E11" s="153"/>
      <c r="F11" s="153"/>
      <c r="G11" s="153"/>
      <c r="H11" s="154"/>
      <c r="I11" s="155" t="s">
        <v>138</v>
      </c>
      <c r="J11" s="156"/>
      <c r="K11" s="156"/>
      <c r="L11" s="156"/>
      <c r="M11" s="156"/>
      <c r="N11" s="157"/>
      <c r="O11" s="158">
        <v>98</v>
      </c>
      <c r="P11" s="159"/>
      <c r="Q11" s="160"/>
      <c r="R11" s="161">
        <v>0.5</v>
      </c>
      <c r="S11" s="161"/>
      <c r="T11" s="161"/>
      <c r="U11" s="161"/>
      <c r="V11" s="162">
        <f t="shared" si="0"/>
        <v>49</v>
      </c>
      <c r="W11" s="163"/>
      <c r="X11" s="163"/>
      <c r="Y11" s="164"/>
      <c r="Z11" s="118"/>
      <c r="AC11" s="71"/>
      <c r="AD11" s="72" t="s">
        <v>97</v>
      </c>
      <c r="AE11" s="120" t="s">
        <v>98</v>
      </c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1"/>
      <c r="AT11" s="122"/>
      <c r="AU11" s="123">
        <v>8.57</v>
      </c>
      <c r="AV11" s="123"/>
      <c r="AW11" s="123"/>
      <c r="AX11" s="123"/>
      <c r="AY11" s="123"/>
      <c r="AZ11" s="123"/>
      <c r="BA11" s="116" t="s">
        <v>96</v>
      </c>
      <c r="BB11" s="117"/>
      <c r="BC11" s="40"/>
    </row>
    <row r="12" spans="1:66" ht="33" customHeight="1" x14ac:dyDescent="0.2">
      <c r="A12" s="141"/>
      <c r="B12" s="152"/>
      <c r="C12" s="153"/>
      <c r="D12" s="153"/>
      <c r="E12" s="153"/>
      <c r="F12" s="153"/>
      <c r="G12" s="153"/>
      <c r="H12" s="154"/>
      <c r="I12" s="155"/>
      <c r="J12" s="156"/>
      <c r="K12" s="156"/>
      <c r="L12" s="156"/>
      <c r="M12" s="156"/>
      <c r="N12" s="157"/>
      <c r="O12" s="166"/>
      <c r="P12" s="167"/>
      <c r="Q12" s="168"/>
      <c r="R12" s="169"/>
      <c r="S12" s="170"/>
      <c r="T12" s="170"/>
      <c r="U12" s="171"/>
      <c r="V12" s="162" t="str">
        <f t="shared" si="0"/>
        <v/>
      </c>
      <c r="W12" s="163"/>
      <c r="X12" s="163"/>
      <c r="Y12" s="164"/>
      <c r="Z12" s="118"/>
      <c r="AC12" s="132" t="s">
        <v>99</v>
      </c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40"/>
    </row>
    <row r="13" spans="1:66" ht="33" customHeight="1" x14ac:dyDescent="0.2">
      <c r="A13" s="141"/>
      <c r="B13" s="152"/>
      <c r="C13" s="153"/>
      <c r="D13" s="153"/>
      <c r="E13" s="153"/>
      <c r="F13" s="153"/>
      <c r="G13" s="153"/>
      <c r="H13" s="154"/>
      <c r="I13" s="155"/>
      <c r="J13" s="156"/>
      <c r="K13" s="156"/>
      <c r="L13" s="156"/>
      <c r="M13" s="156"/>
      <c r="N13" s="157"/>
      <c r="O13" s="158"/>
      <c r="P13" s="159"/>
      <c r="Q13" s="160"/>
      <c r="R13" s="161"/>
      <c r="S13" s="161"/>
      <c r="T13" s="161"/>
      <c r="U13" s="161"/>
      <c r="V13" s="162" t="str">
        <f t="shared" si="0"/>
        <v/>
      </c>
      <c r="W13" s="163"/>
      <c r="X13" s="163"/>
      <c r="Y13" s="164"/>
      <c r="Z13" s="118"/>
      <c r="AC13" s="118"/>
      <c r="AD13" s="72" t="s">
        <v>100</v>
      </c>
      <c r="AE13" s="120" t="s">
        <v>101</v>
      </c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1"/>
      <c r="AT13" s="122"/>
      <c r="AU13" s="119">
        <f>IF(ISNUMBER(AU9),(1000/AU9)-10,"")</f>
        <v>0.69518716577540296</v>
      </c>
      <c r="AV13" s="119"/>
      <c r="AW13" s="119"/>
      <c r="AX13" s="119"/>
      <c r="AY13" s="119"/>
      <c r="AZ13" s="119"/>
      <c r="BA13" s="116" t="s">
        <v>96</v>
      </c>
      <c r="BB13" s="117"/>
      <c r="BC13" s="40"/>
    </row>
    <row r="14" spans="1:66" ht="33" customHeight="1" x14ac:dyDescent="0.2">
      <c r="A14" s="141"/>
      <c r="B14" s="179"/>
      <c r="C14" s="180"/>
      <c r="D14" s="180"/>
      <c r="E14" s="180"/>
      <c r="F14" s="180"/>
      <c r="G14" s="180"/>
      <c r="H14" s="181"/>
      <c r="I14" s="182"/>
      <c r="J14" s="183"/>
      <c r="K14" s="183"/>
      <c r="L14" s="183"/>
      <c r="M14" s="183"/>
      <c r="N14" s="184"/>
      <c r="O14" s="166"/>
      <c r="P14" s="167"/>
      <c r="Q14" s="168"/>
      <c r="R14" s="161"/>
      <c r="S14" s="161"/>
      <c r="T14" s="161"/>
      <c r="U14" s="161"/>
      <c r="V14" s="162" t="str">
        <f t="shared" si="0"/>
        <v/>
      </c>
      <c r="W14" s="163"/>
      <c r="X14" s="163"/>
      <c r="Y14" s="164"/>
      <c r="Z14" s="118"/>
      <c r="AC14" s="118"/>
      <c r="AD14" s="72" t="s">
        <v>102</v>
      </c>
      <c r="AE14" s="120" t="s">
        <v>103</v>
      </c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1"/>
      <c r="AT14" s="122"/>
      <c r="AU14" s="119">
        <f>IF(AND(ISNUMBER(AU10),ISNUMBER(AU13)),((AU10-0.2*AU13)^2)/(AU10+0.8*AU13),"")</f>
        <v>4.4004708994536621</v>
      </c>
      <c r="AV14" s="119"/>
      <c r="AW14" s="119"/>
      <c r="AX14" s="119"/>
      <c r="AY14" s="119"/>
      <c r="AZ14" s="119"/>
      <c r="BA14" s="116" t="s">
        <v>96</v>
      </c>
      <c r="BB14" s="117"/>
      <c r="BC14" s="40"/>
    </row>
    <row r="15" spans="1:66" ht="33" customHeight="1" x14ac:dyDescent="0.2">
      <c r="A15" s="40"/>
      <c r="B15" s="179"/>
      <c r="C15" s="180"/>
      <c r="D15" s="180"/>
      <c r="E15" s="180"/>
      <c r="F15" s="180"/>
      <c r="G15" s="180"/>
      <c r="H15" s="181"/>
      <c r="I15" s="182"/>
      <c r="J15" s="183"/>
      <c r="K15" s="183"/>
      <c r="L15" s="183"/>
      <c r="M15" s="183"/>
      <c r="N15" s="184"/>
      <c r="O15" s="166"/>
      <c r="P15" s="167"/>
      <c r="Q15" s="168"/>
      <c r="R15" s="161"/>
      <c r="S15" s="161"/>
      <c r="T15" s="161"/>
      <c r="U15" s="161"/>
      <c r="V15" s="162" t="str">
        <f t="shared" si="0"/>
        <v/>
      </c>
      <c r="W15" s="163"/>
      <c r="X15" s="163"/>
      <c r="Y15" s="164"/>
      <c r="Z15" s="118"/>
      <c r="AC15" s="71"/>
      <c r="AD15" s="72" t="s">
        <v>102</v>
      </c>
      <c r="AE15" s="120" t="s">
        <v>104</v>
      </c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1"/>
      <c r="AT15" s="122"/>
      <c r="AU15" s="119">
        <f>IF(AND(ISNUMBER(AU11),ISNUMBER(AU13)),((AU11-0.2*AU13)^2)/(AU11+0.8*AU13),"")</f>
        <v>7.7887314898493667</v>
      </c>
      <c r="AV15" s="119"/>
      <c r="AW15" s="119"/>
      <c r="AX15" s="119"/>
      <c r="AY15" s="119"/>
      <c r="AZ15" s="119"/>
      <c r="BA15" s="116" t="s">
        <v>96</v>
      </c>
      <c r="BB15" s="117"/>
      <c r="BC15" s="40"/>
    </row>
    <row r="16" spans="1:66" ht="7.35" customHeight="1" x14ac:dyDescent="0.2">
      <c r="A16" s="71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3"/>
      <c r="S16" s="73"/>
      <c r="T16" s="73"/>
      <c r="U16" s="73"/>
      <c r="V16" s="73"/>
      <c r="W16" s="73"/>
      <c r="X16" s="73"/>
      <c r="Y16" s="73"/>
      <c r="Z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40"/>
    </row>
    <row r="17" spans="1:55" ht="7.35" customHeight="1" x14ac:dyDescent="0.2">
      <c r="A17" s="172" t="s">
        <v>105</v>
      </c>
      <c r="B17" s="172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3"/>
      <c r="R17" s="119">
        <f>IF(SUM(R9:R15)&gt;0,SUM(R9:R15),"")</f>
        <v>0.8</v>
      </c>
      <c r="S17" s="174"/>
      <c r="T17" s="174"/>
      <c r="U17" s="175"/>
      <c r="V17" s="119">
        <f>IF(SUM(V9:V15)&gt;0,SUM(V9:V15),"")</f>
        <v>74.8</v>
      </c>
      <c r="W17" s="119"/>
      <c r="X17" s="119"/>
      <c r="Y17" s="119"/>
      <c r="Z17" s="118"/>
      <c r="AC17" s="132" t="s">
        <v>81</v>
      </c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40"/>
    </row>
    <row r="18" spans="1:55" ht="18" customHeight="1" x14ac:dyDescent="0.2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3"/>
      <c r="R18" s="176"/>
      <c r="S18" s="177"/>
      <c r="T18" s="177"/>
      <c r="U18" s="178"/>
      <c r="V18" s="119"/>
      <c r="W18" s="119"/>
      <c r="X18" s="119"/>
      <c r="Y18" s="119"/>
      <c r="Z18" s="118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40"/>
    </row>
    <row r="19" spans="1:55" ht="7.35" customHeight="1" thickBot="1" x14ac:dyDescent="0.25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40"/>
    </row>
    <row r="20" spans="1:55" ht="28.5" customHeight="1" thickBot="1" x14ac:dyDescent="0.25">
      <c r="A20" s="132" t="s">
        <v>106</v>
      </c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C20" s="40"/>
      <c r="AD20" s="72" t="s">
        <v>107</v>
      </c>
      <c r="AE20" s="117" t="s">
        <v>108</v>
      </c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21"/>
      <c r="AT20" s="121"/>
      <c r="AU20" s="124">
        <f>IF(AND(ISNUMBER(AU8),ISNUMBER(AU14)),(AU14/12)*AU8,"")</f>
        <v>0.29336472663024415</v>
      </c>
      <c r="AV20" s="125"/>
      <c r="AW20" s="125"/>
      <c r="AX20" s="125"/>
      <c r="AY20" s="125"/>
      <c r="AZ20" s="126"/>
      <c r="BA20" s="117" t="s">
        <v>109</v>
      </c>
      <c r="BB20" s="117"/>
      <c r="BC20" s="40"/>
    </row>
    <row r="21" spans="1:55" ht="28.5" customHeight="1" thickBot="1" x14ac:dyDescent="0.25">
      <c r="A21" s="118"/>
      <c r="B21" s="172" t="s">
        <v>110</v>
      </c>
      <c r="C21" s="172"/>
      <c r="D21" s="172"/>
      <c r="E21" s="172"/>
      <c r="F21" s="118" t="s">
        <v>111</v>
      </c>
      <c r="G21" s="185" t="s">
        <v>112</v>
      </c>
      <c r="H21" s="185"/>
      <c r="I21" s="185"/>
      <c r="J21" s="185"/>
      <c r="K21" s="141" t="s">
        <v>111</v>
      </c>
      <c r="L21" s="162">
        <f>IF(ISNUMBER(V17),V17,"")</f>
        <v>74.8</v>
      </c>
      <c r="M21" s="163"/>
      <c r="N21" s="163"/>
      <c r="O21" s="164"/>
      <c r="P21" s="186" t="s">
        <v>113</v>
      </c>
      <c r="Q21" s="187" t="s">
        <v>110</v>
      </c>
      <c r="R21" s="187"/>
      <c r="S21" s="187"/>
      <c r="T21" s="187"/>
      <c r="U21" s="188" t="s">
        <v>111</v>
      </c>
      <c r="V21" s="189">
        <f>IF(ISNUMBER(L22),L21/L22,"")</f>
        <v>93.499999999999986</v>
      </c>
      <c r="W21" s="190"/>
      <c r="X21" s="190"/>
      <c r="Y21" s="191"/>
      <c r="Z21" s="195"/>
      <c r="AC21" s="40"/>
      <c r="AD21" s="72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1"/>
      <c r="AT21" s="122"/>
      <c r="AU21" s="137">
        <f>IF(ISNUMBER(AU20),AU20*43560,"")</f>
        <v>12778.967492013435</v>
      </c>
      <c r="AV21" s="138"/>
      <c r="AW21" s="138"/>
      <c r="AX21" s="138"/>
      <c r="AY21" s="138"/>
      <c r="AZ21" s="139"/>
      <c r="BA21" s="116" t="s">
        <v>114</v>
      </c>
      <c r="BB21" s="117"/>
      <c r="BC21" s="40"/>
    </row>
    <row r="22" spans="1:55" ht="28.5" customHeight="1" thickBot="1" x14ac:dyDescent="0.25">
      <c r="A22" s="118"/>
      <c r="B22" s="172"/>
      <c r="C22" s="172"/>
      <c r="D22" s="172"/>
      <c r="E22" s="172"/>
      <c r="F22" s="118"/>
      <c r="G22" s="196" t="s">
        <v>115</v>
      </c>
      <c r="H22" s="196"/>
      <c r="I22" s="196"/>
      <c r="J22" s="196"/>
      <c r="K22" s="141"/>
      <c r="L22" s="162">
        <f>IF(ISNUMBER(R17),R17,"")</f>
        <v>0.8</v>
      </c>
      <c r="M22" s="163"/>
      <c r="N22" s="163"/>
      <c r="O22" s="164"/>
      <c r="P22" s="186"/>
      <c r="Q22" s="187"/>
      <c r="R22" s="187"/>
      <c r="S22" s="187"/>
      <c r="T22" s="187"/>
      <c r="U22" s="188"/>
      <c r="V22" s="192"/>
      <c r="W22" s="193"/>
      <c r="X22" s="193"/>
      <c r="Y22" s="194"/>
      <c r="Z22" s="195"/>
      <c r="AC22" s="40"/>
      <c r="AD22" s="72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1"/>
      <c r="AT22" s="122"/>
      <c r="AU22" s="137">
        <f>IF(ISNUMBER(AU21),AU21*7.48,"")</f>
        <v>95586.676840260494</v>
      </c>
      <c r="AV22" s="138"/>
      <c r="AW22" s="138"/>
      <c r="AX22" s="138"/>
      <c r="AY22" s="138"/>
      <c r="AZ22" s="139"/>
      <c r="BA22" s="116" t="s">
        <v>19</v>
      </c>
      <c r="BB22" s="117"/>
      <c r="BC22" s="40"/>
    </row>
    <row r="23" spans="1:55" ht="7.35" customHeight="1" thickBot="1" x14ac:dyDescent="0.25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40"/>
    </row>
    <row r="24" spans="1:55" ht="28.5" customHeight="1" thickBot="1" x14ac:dyDescent="0.25">
      <c r="AC24" s="40"/>
      <c r="AD24" s="72" t="s">
        <v>107</v>
      </c>
      <c r="AE24" s="117" t="s">
        <v>116</v>
      </c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21"/>
      <c r="AT24" s="121"/>
      <c r="AU24" s="124">
        <f>IF(AND(ISNUMBER(AU8),ISNUMBER(AU15)),(AU15/12)*AU8,"")</f>
        <v>0.51924876598995773</v>
      </c>
      <c r="AV24" s="125"/>
      <c r="AW24" s="125"/>
      <c r="AX24" s="125"/>
      <c r="AY24" s="125"/>
      <c r="AZ24" s="126"/>
      <c r="BA24" s="117" t="s">
        <v>109</v>
      </c>
      <c r="BB24" s="117"/>
      <c r="BC24" s="40"/>
    </row>
    <row r="25" spans="1:55" ht="28.5" customHeight="1" thickBot="1" x14ac:dyDescent="0.25">
      <c r="AC25" s="40"/>
      <c r="AD25" s="72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1"/>
      <c r="AT25" s="122"/>
      <c r="AU25" s="137">
        <f>IF(ISNUMBER(AU24),AU24*43560,"")</f>
        <v>22618.476246522558</v>
      </c>
      <c r="AV25" s="138"/>
      <c r="AW25" s="138"/>
      <c r="AX25" s="138"/>
      <c r="AY25" s="138"/>
      <c r="AZ25" s="139"/>
      <c r="BA25" s="116" t="s">
        <v>114</v>
      </c>
      <c r="BB25" s="117"/>
      <c r="BC25" s="40"/>
    </row>
    <row r="26" spans="1:55" ht="28.5" customHeight="1" thickBot="1" x14ac:dyDescent="0.25">
      <c r="AC26" s="40"/>
      <c r="AD26" s="72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1"/>
      <c r="AT26" s="122"/>
      <c r="AU26" s="137">
        <f>IF(ISNUMBER(AU25),AU25*7.48,"")</f>
        <v>169186.20232398875</v>
      </c>
      <c r="AV26" s="138"/>
      <c r="AW26" s="138"/>
      <c r="AX26" s="138"/>
      <c r="AY26" s="138"/>
      <c r="AZ26" s="139"/>
      <c r="BA26" s="116" t="s">
        <v>19</v>
      </c>
      <c r="BB26" s="117"/>
      <c r="BC26" s="40"/>
    </row>
    <row r="27" spans="1:55" ht="18" customHeight="1" x14ac:dyDescent="0.2"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</row>
    <row r="28" spans="1:55" ht="18" customHeight="1" x14ac:dyDescent="0.2"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</row>
    <row r="29" spans="1:55" ht="18" customHeight="1" x14ac:dyDescent="0.2"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</row>
    <row r="30" spans="1:55" ht="18" customHeight="1" x14ac:dyDescent="0.2"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</row>
    <row r="31" spans="1:55" ht="18" customHeight="1" x14ac:dyDescent="0.2"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</row>
    <row r="32" spans="1:55" ht="18" customHeight="1" x14ac:dyDescent="0.2"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</row>
    <row r="33" spans="29:55" ht="18" customHeight="1" x14ac:dyDescent="0.2"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</row>
    <row r="34" spans="29:55" ht="18" customHeight="1" x14ac:dyDescent="0.2"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</row>
    <row r="35" spans="29:55" ht="18" customHeight="1" x14ac:dyDescent="0.2"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</row>
    <row r="36" spans="29:55" ht="18" customHeight="1" x14ac:dyDescent="0.2"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</row>
    <row r="37" spans="29:55" ht="18" customHeight="1" x14ac:dyDescent="0.2"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</row>
    <row r="38" spans="29:55" ht="18" customHeight="1" x14ac:dyDescent="0.2"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</row>
    <row r="39" spans="29:55" ht="18" customHeight="1" x14ac:dyDescent="0.2"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</row>
    <row r="40" spans="29:55" ht="18" customHeight="1" x14ac:dyDescent="0.2"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</row>
    <row r="41" spans="29:55" ht="18" customHeight="1" x14ac:dyDescent="0.2"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</row>
    <row r="42" spans="29:55" ht="18" customHeight="1" x14ac:dyDescent="0.2"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</row>
    <row r="43" spans="29:55" ht="18" customHeight="1" x14ac:dyDescent="0.2"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</row>
    <row r="44" spans="29:55" ht="18" customHeight="1" x14ac:dyDescent="0.2"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</row>
    <row r="45" spans="29:55" ht="18" customHeight="1" x14ac:dyDescent="0.2"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</row>
    <row r="46" spans="29:55" ht="18" customHeight="1" x14ac:dyDescent="0.2"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</row>
    <row r="47" spans="29:55" ht="18" customHeight="1" x14ac:dyDescent="0.2"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</row>
    <row r="48" spans="29:55" ht="18" customHeight="1" x14ac:dyDescent="0.2"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</row>
    <row r="49" spans="29:54" ht="18" customHeight="1" x14ac:dyDescent="0.2"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</row>
    <row r="50" spans="29:54" ht="18" customHeight="1" x14ac:dyDescent="0.2"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</row>
  </sheetData>
  <sheetProtection selectLockedCells="1"/>
  <mergeCells count="140">
    <mergeCell ref="A21:A22"/>
    <mergeCell ref="B21:E22"/>
    <mergeCell ref="F21:F22"/>
    <mergeCell ref="G21:J21"/>
    <mergeCell ref="K21:K22"/>
    <mergeCell ref="L21:O21"/>
    <mergeCell ref="AE26:AR26"/>
    <mergeCell ref="AS26:AT26"/>
    <mergeCell ref="AU26:AZ26"/>
    <mergeCell ref="BA26:BB26"/>
    <mergeCell ref="A23:Z23"/>
    <mergeCell ref="AC23:BB23"/>
    <mergeCell ref="AE24:AR24"/>
    <mergeCell ref="AS24:AT24"/>
    <mergeCell ref="AU24:AZ24"/>
    <mergeCell ref="BA24:BB24"/>
    <mergeCell ref="BA21:BB21"/>
    <mergeCell ref="U21:U22"/>
    <mergeCell ref="V21:Y22"/>
    <mergeCell ref="Z21:Z22"/>
    <mergeCell ref="AE21:AR21"/>
    <mergeCell ref="AE25:AR25"/>
    <mergeCell ref="AS25:AT25"/>
    <mergeCell ref="AU25:AZ25"/>
    <mergeCell ref="BA25:BB25"/>
    <mergeCell ref="G22:J22"/>
    <mergeCell ref="L22:O22"/>
    <mergeCell ref="AE22:AR22"/>
    <mergeCell ref="AS22:AT22"/>
    <mergeCell ref="AU22:AZ22"/>
    <mergeCell ref="BA22:BB22"/>
    <mergeCell ref="P21:P22"/>
    <mergeCell ref="Q21:T22"/>
    <mergeCell ref="AU15:AZ15"/>
    <mergeCell ref="BA15:BB15"/>
    <mergeCell ref="AC16:BB16"/>
    <mergeCell ref="A17:Q18"/>
    <mergeCell ref="R17:U18"/>
    <mergeCell ref="V17:Y18"/>
    <mergeCell ref="AC17:BB18"/>
    <mergeCell ref="A19:Z19"/>
    <mergeCell ref="AC19:BB19"/>
    <mergeCell ref="A20:Z20"/>
    <mergeCell ref="AE20:AR20"/>
    <mergeCell ref="AS20:AT20"/>
    <mergeCell ref="AU20:AZ20"/>
    <mergeCell ref="BA20:BB20"/>
    <mergeCell ref="AS21:AT21"/>
    <mergeCell ref="AU21:AZ21"/>
    <mergeCell ref="R12:U12"/>
    <mergeCell ref="AS14:AT14"/>
    <mergeCell ref="AU14:AZ14"/>
    <mergeCell ref="BA14:BB14"/>
    <mergeCell ref="B15:H15"/>
    <mergeCell ref="I15:N15"/>
    <mergeCell ref="O15:Q15"/>
    <mergeCell ref="R15:U15"/>
    <mergeCell ref="V15:Y15"/>
    <mergeCell ref="AE15:AR15"/>
    <mergeCell ref="AS15:AT15"/>
    <mergeCell ref="AE13:AR13"/>
    <mergeCell ref="AS13:AT13"/>
    <mergeCell ref="AU13:AZ13"/>
    <mergeCell ref="BA13:BB13"/>
    <mergeCell ref="B14:H14"/>
    <mergeCell ref="I14:N14"/>
    <mergeCell ref="O14:Q14"/>
    <mergeCell ref="R14:U14"/>
    <mergeCell ref="V14:Y14"/>
    <mergeCell ref="AE14:AR14"/>
    <mergeCell ref="B13:H13"/>
    <mergeCell ref="I13:N13"/>
    <mergeCell ref="O13:Q13"/>
    <mergeCell ref="R13:U13"/>
    <mergeCell ref="V13:Y13"/>
    <mergeCell ref="AC13:AC14"/>
    <mergeCell ref="V12:Y12"/>
    <mergeCell ref="AC12:BB12"/>
    <mergeCell ref="AU10:AZ10"/>
    <mergeCell ref="BA10:BB10"/>
    <mergeCell ref="B11:H11"/>
    <mergeCell ref="I11:N11"/>
    <mergeCell ref="O11:Q11"/>
    <mergeCell ref="R11:U11"/>
    <mergeCell ref="V11:Y11"/>
    <mergeCell ref="AE11:AR11"/>
    <mergeCell ref="AS11:AT11"/>
    <mergeCell ref="AU11:AZ11"/>
    <mergeCell ref="B10:H10"/>
    <mergeCell ref="I10:N10"/>
    <mergeCell ref="O10:Q10"/>
    <mergeCell ref="R10:U10"/>
    <mergeCell ref="V10:Y10"/>
    <mergeCell ref="AE10:AR10"/>
    <mergeCell ref="AC8:AC10"/>
    <mergeCell ref="AE8:AR8"/>
    <mergeCell ref="BA11:BB11"/>
    <mergeCell ref="B12:H12"/>
    <mergeCell ref="I12:N12"/>
    <mergeCell ref="O12:Q12"/>
    <mergeCell ref="AS8:AT8"/>
    <mergeCell ref="AU8:AZ8"/>
    <mergeCell ref="BA8:BB8"/>
    <mergeCell ref="AS9:AT9"/>
    <mergeCell ref="AU9:AZ9"/>
    <mergeCell ref="BA9:BB9"/>
    <mergeCell ref="AS10:AT10"/>
    <mergeCell ref="A6:Z6"/>
    <mergeCell ref="AC6:BB6"/>
    <mergeCell ref="A7:Z7"/>
    <mergeCell ref="AC7:BB7"/>
    <mergeCell ref="A8:A14"/>
    <mergeCell ref="B8:H8"/>
    <mergeCell ref="I8:N8"/>
    <mergeCell ref="O8:Q8"/>
    <mergeCell ref="R8:U8"/>
    <mergeCell ref="V8:Y8"/>
    <mergeCell ref="B9:H9"/>
    <mergeCell ref="I9:N9"/>
    <mergeCell ref="O9:Q9"/>
    <mergeCell ref="R9:U9"/>
    <mergeCell ref="V9:Y9"/>
    <mergeCell ref="AE9:AR9"/>
    <mergeCell ref="Z8:Z18"/>
    <mergeCell ref="A3:Z3"/>
    <mergeCell ref="AC3:BB3"/>
    <mergeCell ref="A4:Z4"/>
    <mergeCell ref="AC4:BB4"/>
    <mergeCell ref="A5:Z5"/>
    <mergeCell ref="AC5:BB5"/>
    <mergeCell ref="A1:Z1"/>
    <mergeCell ref="AC1:BB1"/>
    <mergeCell ref="A2:C2"/>
    <mergeCell ref="D2:P2"/>
    <mergeCell ref="Q2:U2"/>
    <mergeCell ref="V2:Z2"/>
    <mergeCell ref="AC2:AE2"/>
    <mergeCell ref="AF2:AR2"/>
    <mergeCell ref="AS2:AW2"/>
    <mergeCell ref="AX2:BB2"/>
  </mergeCells>
  <dataValidations count="1">
    <dataValidation type="list" allowBlank="1" showInputMessage="1" showErrorMessage="1" sqref="V2:Z2" xr:uid="{4E90F8A3-6FBE-4BA0-BBFC-304DECBE727B}">
      <formula1>"'   ,30%,60%,98%,100%,Construction Complete"</formula1>
    </dataValidation>
  </dataValidations>
  <printOptions horizontalCentered="1"/>
  <pageMargins left="0.25" right="0.25" top="0.75" bottom="0.75" header="0.3" footer="0.3"/>
  <pageSetup scale="79" orientation="landscape" r:id="rId1"/>
  <headerFooter>
    <oddFooter>&amp;LDate Printed: &amp;D&amp;CCN / Runoff Volume Page &amp;P of &amp;N</oddFooter>
  </headerFooter>
  <colBreaks count="1" manualBreakCount="1">
    <brk id="54" max="1048575" man="1"/>
  </colBreaks>
  <drawing r:id="rId2"/>
  <legacyDrawing r:id="rId3"/>
  <oleObjects>
    <mc:AlternateContent xmlns:mc="http://schemas.openxmlformats.org/markup-compatibility/2006">
      <mc:Choice Requires="x14">
        <oleObject progId="Word.Document.12" shapeId="35841" r:id="rId4">
          <objectPr defaultSize="0" r:id="rId5">
            <anchor moveWithCells="1">
              <from>
                <xdr:col>0</xdr:col>
                <xdr:colOff>142875</xdr:colOff>
                <xdr:row>24</xdr:row>
                <xdr:rowOff>190500</xdr:rowOff>
              </from>
              <to>
                <xdr:col>26</xdr:col>
                <xdr:colOff>200025</xdr:colOff>
                <xdr:row>49</xdr:row>
                <xdr:rowOff>114300</xdr:rowOff>
              </to>
            </anchor>
          </objectPr>
        </oleObject>
      </mc:Choice>
      <mc:Fallback>
        <oleObject progId="Word.Document.12" shapeId="35841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7B070-AEF0-444D-BD39-064F26FBCF99}">
  <sheetPr>
    <tabColor theme="9" tint="0.59999389629810485"/>
    <pageSetUpPr fitToPage="1"/>
  </sheetPr>
  <dimension ref="A1:O134"/>
  <sheetViews>
    <sheetView zoomScaleNormal="100" zoomScaleSheetLayoutView="80" workbookViewId="0">
      <selection activeCell="E6" sqref="E6"/>
    </sheetView>
  </sheetViews>
  <sheetFormatPr defaultRowHeight="12.75" x14ac:dyDescent="0.2"/>
  <cols>
    <col min="1" max="1" width="8.140625" customWidth="1"/>
    <col min="2" max="2" width="18.7109375" customWidth="1"/>
    <col min="3" max="3" width="10.5703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6.85546875" customWidth="1"/>
    <col min="10" max="10" width="9.710937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8"/>
    </row>
    <row r="3" spans="1:15" ht="18" x14ac:dyDescent="0.25">
      <c r="A3" s="1" t="s">
        <v>6</v>
      </c>
      <c r="J3" s="22" t="s">
        <v>7</v>
      </c>
      <c r="K3" s="98"/>
      <c r="L3" s="98"/>
      <c r="N3" s="7" t="s">
        <v>8</v>
      </c>
    </row>
    <row r="4" spans="1:15" ht="15" customHeight="1" x14ac:dyDescent="0.25">
      <c r="A4" s="1"/>
      <c r="K4" s="98"/>
      <c r="L4" s="98"/>
      <c r="N4" s="70" t="s">
        <v>9</v>
      </c>
      <c r="O4" s="70" t="s">
        <v>10</v>
      </c>
    </row>
    <row r="5" spans="1:15" ht="15" customHeight="1" x14ac:dyDescent="0.25">
      <c r="A5" s="99" t="s">
        <v>11</v>
      </c>
      <c r="B5" s="99"/>
      <c r="C5" s="83"/>
      <c r="D5" s="83"/>
      <c r="E5" s="83"/>
      <c r="F5" s="83"/>
      <c r="G5" s="83"/>
      <c r="H5" s="83"/>
      <c r="I5" s="83"/>
      <c r="K5" s="98"/>
      <c r="L5" s="98"/>
      <c r="N5" s="8" t="s">
        <v>12</v>
      </c>
      <c r="O5" s="8">
        <v>0.41</v>
      </c>
    </row>
    <row r="6" spans="1:15" ht="15" customHeight="1" x14ac:dyDescent="0.25">
      <c r="A6" s="69" t="s">
        <v>13</v>
      </c>
      <c r="B6" s="69"/>
      <c r="C6" s="64"/>
      <c r="D6" s="69"/>
      <c r="E6" s="69"/>
      <c r="F6" s="69"/>
      <c r="G6" s="69"/>
      <c r="H6" s="69"/>
      <c r="I6" s="69"/>
      <c r="K6" s="98"/>
      <c r="L6" s="98"/>
      <c r="N6" s="8" t="s">
        <v>14</v>
      </c>
      <c r="O6" s="8">
        <v>0.38</v>
      </c>
    </row>
    <row r="7" spans="1:15" ht="15" customHeight="1" thickBot="1" x14ac:dyDescent="0.3">
      <c r="A7" s="94" t="s">
        <v>15</v>
      </c>
      <c r="B7" s="94"/>
      <c r="C7" s="205">
        <v>0.6</v>
      </c>
      <c r="D7" s="69"/>
      <c r="E7" s="48"/>
      <c r="F7" s="26"/>
      <c r="K7" s="98"/>
      <c r="L7" s="98"/>
      <c r="N7" s="8" t="s">
        <v>17</v>
      </c>
      <c r="O7" s="8">
        <v>0.28000000000000003</v>
      </c>
    </row>
    <row r="8" spans="1:15" ht="15" customHeight="1" x14ac:dyDescent="0.25">
      <c r="A8" s="94" t="s">
        <v>18</v>
      </c>
      <c r="B8" s="94"/>
      <c r="C8" s="27">
        <f>SUMIF(J24:J504,"Subtotal Constructed Volume (gallons)",K24:K504)</f>
        <v>0</v>
      </c>
      <c r="D8" s="28" t="s">
        <v>19</v>
      </c>
      <c r="E8" s="49" t="s">
        <v>20</v>
      </c>
      <c r="F8" s="50"/>
      <c r="G8" s="50"/>
      <c r="H8" s="50"/>
      <c r="I8" s="51"/>
      <c r="K8" s="98"/>
      <c r="L8" s="98"/>
      <c r="N8" s="8" t="s">
        <v>21</v>
      </c>
      <c r="O8" s="8">
        <v>0.28000000000000003</v>
      </c>
    </row>
    <row r="9" spans="1:15" ht="15" customHeight="1" x14ac:dyDescent="0.25">
      <c r="A9" s="94" t="s">
        <v>22</v>
      </c>
      <c r="B9" s="94"/>
      <c r="C9" s="27">
        <f>SUMIF(J24:J504,"Infiltration Volume (gallons)",K24:K504)</f>
        <v>0</v>
      </c>
      <c r="D9" s="28" t="s">
        <v>19</v>
      </c>
      <c r="E9" s="100" t="str">
        <f>IF(ISNUMBER('CN &amp; Runoff Volume'!AU22),IF(C10=0,"To be determined",IF(C10&lt;'CN &amp; Runoff Volume'!AU22,"WARNING! DRC does not meet the 10-yr runoff volume",IF(C10&gt;'CN &amp; Runoff Volume'!AU26,"DRC exceeds the 100-yr runoff volume - DRC will be capped to calculate MWRD Contribution","DRC is between the 10- to 100-yr runoff volume"))),"Please fill in CN &amp; Runoff Volume tab")</f>
        <v>Please fill in CN &amp; Runoff Volume tab</v>
      </c>
      <c r="F9" s="101"/>
      <c r="G9" s="101"/>
      <c r="H9" s="101"/>
      <c r="I9" s="102"/>
      <c r="K9" s="98"/>
      <c r="L9" s="98"/>
      <c r="N9" s="8" t="s">
        <v>23</v>
      </c>
      <c r="O9" s="8">
        <v>0.25</v>
      </c>
    </row>
    <row r="10" spans="1:15" ht="15" customHeight="1" thickBot="1" x14ac:dyDescent="0.3">
      <c r="A10" s="107" t="s">
        <v>24</v>
      </c>
      <c r="B10" s="108"/>
      <c r="C10" s="29">
        <f>SUM(C8:C9)</f>
        <v>0</v>
      </c>
      <c r="D10" s="30" t="s">
        <v>19</v>
      </c>
      <c r="E10" s="103"/>
      <c r="F10" s="104"/>
      <c r="G10" s="104"/>
      <c r="H10" s="104"/>
      <c r="I10" s="105"/>
      <c r="K10" s="98"/>
      <c r="L10" s="98"/>
    </row>
    <row r="11" spans="1:15" ht="15" customHeight="1" x14ac:dyDescent="0.25">
      <c r="A11" s="107" t="s">
        <v>25</v>
      </c>
      <c r="B11" s="108"/>
      <c r="C11" s="29">
        <f>IF(C10&gt;'CN &amp; Runoff Volume'!AU26,'CN &amp; Runoff Volume'!AU26,C10)</f>
        <v>0</v>
      </c>
      <c r="D11" s="53" t="s">
        <v>19</v>
      </c>
      <c r="H11" s="48"/>
      <c r="I11" s="48"/>
      <c r="J11" s="48"/>
      <c r="K11" s="98"/>
      <c r="L11" s="98"/>
      <c r="N11" s="8"/>
      <c r="O11" s="8"/>
    </row>
    <row r="12" spans="1:15" ht="15" customHeight="1" x14ac:dyDescent="0.2">
      <c r="A12" s="94" t="s">
        <v>26</v>
      </c>
      <c r="B12" s="94"/>
      <c r="C12" s="27">
        <f>C11-C8</f>
        <v>0</v>
      </c>
      <c r="J12" s="48"/>
      <c r="K12" s="98"/>
      <c r="L12" s="98"/>
    </row>
    <row r="13" spans="1:15" ht="14.25" x14ac:dyDescent="0.2">
      <c r="A13" s="95" t="s">
        <v>27</v>
      </c>
      <c r="B13" s="95"/>
      <c r="C13" s="60"/>
      <c r="D13" s="54" t="s">
        <v>28</v>
      </c>
      <c r="F13" s="60"/>
      <c r="G13" s="54" t="s">
        <v>29</v>
      </c>
      <c r="I13" s="48"/>
      <c r="J13" s="48"/>
      <c r="K13" s="98"/>
      <c r="L13" s="98"/>
    </row>
    <row r="14" spans="1:15" ht="14.25" x14ac:dyDescent="0.2">
      <c r="A14" s="96" t="s">
        <v>30</v>
      </c>
      <c r="B14" s="96"/>
      <c r="C14" s="106">
        <f>C8*C13+C12*F13</f>
        <v>0</v>
      </c>
      <c r="D14" s="106"/>
      <c r="E14" s="26"/>
      <c r="F14" s="59"/>
      <c r="G14" s="59"/>
      <c r="H14" s="59"/>
      <c r="I14" s="59"/>
      <c r="K14" s="98"/>
      <c r="L14" s="98"/>
    </row>
    <row r="15" spans="1:15" ht="14.25" x14ac:dyDescent="0.2">
      <c r="A15" s="86" t="s">
        <v>31</v>
      </c>
      <c r="B15" s="86"/>
      <c r="C15" s="92">
        <v>0</v>
      </c>
      <c r="D15" s="92"/>
      <c r="E15" s="5" t="s">
        <v>141</v>
      </c>
      <c r="F15" s="59"/>
      <c r="G15" s="59"/>
      <c r="H15" s="59"/>
      <c r="I15" s="59"/>
      <c r="K15" s="98"/>
      <c r="L15" s="98"/>
    </row>
    <row r="16" spans="1:15" ht="14.25" x14ac:dyDescent="0.2">
      <c r="A16" s="87" t="s">
        <v>32</v>
      </c>
      <c r="B16" s="87"/>
      <c r="C16" s="61"/>
      <c r="D16" t="s">
        <v>33</v>
      </c>
      <c r="E16" s="90" t="s">
        <v>34</v>
      </c>
      <c r="F16" s="90"/>
      <c r="G16" s="91" t="s">
        <v>35</v>
      </c>
      <c r="H16" s="91"/>
      <c r="K16" s="98"/>
      <c r="L16" s="98"/>
    </row>
    <row r="17" spans="1:14" ht="30" customHeight="1" x14ac:dyDescent="0.25">
      <c r="A17" s="88" t="s">
        <v>36</v>
      </c>
      <c r="B17" s="88"/>
      <c r="C17" s="84">
        <f>MIN(C14,C15*C16,G16)</f>
        <v>0</v>
      </c>
      <c r="D17" s="85"/>
      <c r="K17" s="68"/>
      <c r="L17" s="68"/>
    </row>
    <row r="18" spans="1:14" ht="29.25" customHeight="1" x14ac:dyDescent="0.2">
      <c r="A18" s="89" t="s">
        <v>37</v>
      </c>
      <c r="B18" s="89"/>
      <c r="C18" s="93"/>
      <c r="D18" s="93"/>
      <c r="E18" s="93"/>
      <c r="F18" s="89" t="s">
        <v>38</v>
      </c>
      <c r="G18" s="89"/>
      <c r="H18" s="78"/>
      <c r="I18" s="78"/>
      <c r="K18" s="68"/>
      <c r="L18" s="68"/>
    </row>
    <row r="19" spans="1:14" ht="13.5" customHeight="1" x14ac:dyDescent="0.2">
      <c r="K19" s="68"/>
      <c r="L19" s="68"/>
    </row>
    <row r="20" spans="1:14" x14ac:dyDescent="0.2">
      <c r="K20" s="68"/>
      <c r="L20" s="68"/>
    </row>
    <row r="21" spans="1:14" ht="15" x14ac:dyDescent="0.25">
      <c r="A21" s="31" t="s">
        <v>39</v>
      </c>
      <c r="N21" s="14" t="s">
        <v>40</v>
      </c>
    </row>
    <row r="22" spans="1:14" x14ac:dyDescent="0.2">
      <c r="A22" s="77" t="s">
        <v>41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</row>
    <row r="23" spans="1:14" s="4" customFormat="1" ht="25.5" x14ac:dyDescent="0.2">
      <c r="A23" s="18" t="s">
        <v>42</v>
      </c>
      <c r="B23" s="82" t="s">
        <v>43</v>
      </c>
      <c r="C23" s="82"/>
      <c r="D23" s="9" t="s">
        <v>10</v>
      </c>
      <c r="E23" s="9" t="s">
        <v>44</v>
      </c>
      <c r="F23" s="9" t="s">
        <v>45</v>
      </c>
      <c r="G23" s="9" t="s">
        <v>46</v>
      </c>
      <c r="H23" s="9" t="s">
        <v>47</v>
      </c>
      <c r="I23" s="9" t="s">
        <v>48</v>
      </c>
      <c r="J23" s="9" t="s">
        <v>49</v>
      </c>
      <c r="K23" s="9" t="s">
        <v>50</v>
      </c>
      <c r="L23" s="9" t="s">
        <v>51</v>
      </c>
    </row>
    <row r="24" spans="1:14" x14ac:dyDescent="0.2">
      <c r="A24" s="3">
        <v>1</v>
      </c>
      <c r="B24" s="80"/>
      <c r="C24" s="80"/>
      <c r="D24" s="10"/>
      <c r="E24" s="15" t="s">
        <v>52</v>
      </c>
      <c r="F24" s="24" cm="1">
        <f t="array" ref="F24">_xlfn.IFS(E24="above invert",0.5,E24="below invert",1,E24="ponding",1,E24=" ",0)</f>
        <v>0</v>
      </c>
      <c r="G24" s="11"/>
      <c r="H24" s="10"/>
      <c r="I24" s="10"/>
      <c r="J24" s="12">
        <f>H24*I24</f>
        <v>0</v>
      </c>
      <c r="K24" s="13">
        <f>D24*G24*J24*F24</f>
        <v>0</v>
      </c>
      <c r="L24" s="79"/>
    </row>
    <row r="25" spans="1:14" x14ac:dyDescent="0.2">
      <c r="A25" s="3">
        <v>2</v>
      </c>
      <c r="B25" s="80"/>
      <c r="C25" s="80"/>
      <c r="D25" s="10"/>
      <c r="E25" s="15" t="s">
        <v>52</v>
      </c>
      <c r="F25" s="24" cm="1">
        <f t="array" ref="F25">_xlfn.IFS(E25="above invert",0.5,E25="below invert",1,E25="ponding",1,E25=" ",0)</f>
        <v>0</v>
      </c>
      <c r="G25" s="11"/>
      <c r="H25" s="10"/>
      <c r="I25" s="10"/>
      <c r="J25" s="12">
        <f t="shared" ref="J25:J28" si="0">H25*I25</f>
        <v>0</v>
      </c>
      <c r="K25" s="13">
        <f>D25*G25*J25*F25</f>
        <v>0</v>
      </c>
      <c r="L25" s="79"/>
    </row>
    <row r="26" spans="1:14" x14ac:dyDescent="0.2">
      <c r="A26" s="3">
        <v>3</v>
      </c>
      <c r="B26" s="80"/>
      <c r="C26" s="80"/>
      <c r="D26" s="10"/>
      <c r="E26" s="15" t="s">
        <v>52</v>
      </c>
      <c r="F26" s="24" cm="1">
        <f t="array" ref="F26">_xlfn.IFS(E26="above invert",0.5,E26="below invert",1,E26="ponding",1,E26=" ",0)</f>
        <v>0</v>
      </c>
      <c r="G26" s="11"/>
      <c r="H26" s="10"/>
      <c r="I26" s="10"/>
      <c r="J26" s="12">
        <f t="shared" si="0"/>
        <v>0</v>
      </c>
      <c r="K26" s="13">
        <f>D26*G26*J26*F26</f>
        <v>0</v>
      </c>
      <c r="L26" s="79"/>
    </row>
    <row r="27" spans="1:14" x14ac:dyDescent="0.2">
      <c r="A27" s="3">
        <v>4</v>
      </c>
      <c r="B27" s="80"/>
      <c r="C27" s="80"/>
      <c r="D27" s="10"/>
      <c r="E27" s="15" t="s">
        <v>52</v>
      </c>
      <c r="F27" s="24" cm="1">
        <f t="array" ref="F27">_xlfn.IFS(E27="above invert",0.5,E27="below invert",1,E27="ponding",1,E27=" ",0)</f>
        <v>0</v>
      </c>
      <c r="G27" s="11"/>
      <c r="H27" s="10"/>
      <c r="I27" s="10"/>
      <c r="J27" s="12">
        <f t="shared" si="0"/>
        <v>0</v>
      </c>
      <c r="K27" s="13">
        <f>D27*G27*J27*F27</f>
        <v>0</v>
      </c>
      <c r="L27" s="79"/>
    </row>
    <row r="28" spans="1:14" x14ac:dyDescent="0.2">
      <c r="A28" s="3">
        <v>5</v>
      </c>
      <c r="B28" s="80"/>
      <c r="C28" s="80"/>
      <c r="D28" s="10"/>
      <c r="E28" s="15" t="s">
        <v>52</v>
      </c>
      <c r="F28" s="24" cm="1">
        <f t="array" ref="F28">_xlfn.IFS(E28="above invert",0.5,E28="below invert",1,E28="ponding",1,E28=" ",0)</f>
        <v>0</v>
      </c>
      <c r="G28" s="10"/>
      <c r="H28" s="10"/>
      <c r="I28" s="10"/>
      <c r="J28" s="12">
        <f t="shared" si="0"/>
        <v>0</v>
      </c>
      <c r="K28" s="13">
        <f>D28*G28*J28*F28</f>
        <v>0</v>
      </c>
      <c r="L28" s="79"/>
    </row>
    <row r="29" spans="1:14" x14ac:dyDescent="0.2">
      <c r="J29" s="62" t="s">
        <v>53</v>
      </c>
      <c r="K29" s="13">
        <f>SUM(K24:K28)</f>
        <v>0</v>
      </c>
      <c r="L29" s="79"/>
    </row>
    <row r="30" spans="1:14" x14ac:dyDescent="0.2">
      <c r="C30" s="14"/>
      <c r="D30" s="14"/>
      <c r="E30" s="14"/>
      <c r="F30" s="14"/>
      <c r="G30" s="14"/>
      <c r="H30" s="14"/>
      <c r="I30" s="14"/>
      <c r="J30" s="17" t="s">
        <v>54</v>
      </c>
      <c r="K30" s="16">
        <f>K29*7.48</f>
        <v>0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K31" s="17"/>
      <c r="L31" s="17"/>
    </row>
    <row r="32" spans="1:14" x14ac:dyDescent="0.2">
      <c r="A32" s="77" t="s">
        <v>55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9" t="s">
        <v>51</v>
      </c>
    </row>
    <row r="33" spans="1:14" x14ac:dyDescent="0.2">
      <c r="A33" s="76" t="s">
        <v>56</v>
      </c>
      <c r="B33" s="76"/>
      <c r="C33" s="76"/>
      <c r="D33" s="76"/>
      <c r="E33" s="76"/>
      <c r="F33" s="76"/>
      <c r="G33" s="76"/>
      <c r="H33" s="76"/>
      <c r="I33" s="76"/>
      <c r="J33" s="76"/>
      <c r="K33" s="32"/>
      <c r="L33" s="20"/>
    </row>
    <row r="34" spans="1:14" x14ac:dyDescent="0.2">
      <c r="A34" s="81" t="s">
        <v>57</v>
      </c>
      <c r="B34" s="81"/>
      <c r="C34" s="81"/>
      <c r="D34" s="81"/>
      <c r="E34" s="81"/>
      <c r="F34" s="81"/>
      <c r="G34" s="81"/>
      <c r="H34" s="81"/>
      <c r="I34" s="81"/>
      <c r="J34" s="81"/>
      <c r="K34" s="32"/>
      <c r="L34" s="20"/>
    </row>
    <row r="35" spans="1:14" ht="25.5" customHeight="1" x14ac:dyDescent="0.2">
      <c r="A35" s="76" t="s">
        <v>58</v>
      </c>
      <c r="B35" s="76"/>
      <c r="C35" s="76"/>
      <c r="D35" s="76"/>
      <c r="E35" s="76"/>
      <c r="F35" s="76"/>
      <c r="G35" s="76"/>
      <c r="H35" s="76"/>
      <c r="I35" s="76"/>
      <c r="J35" s="76"/>
      <c r="K35" s="33">
        <f>K33-K34</f>
        <v>0</v>
      </c>
      <c r="L35" s="20"/>
    </row>
    <row r="36" spans="1:14" x14ac:dyDescent="0.2">
      <c r="C36" s="14"/>
      <c r="D36" s="14"/>
      <c r="E36" s="14"/>
      <c r="F36" s="14"/>
      <c r="G36" s="14"/>
      <c r="H36" s="14"/>
      <c r="I36" s="14"/>
      <c r="K36" s="17"/>
      <c r="L36" s="17"/>
    </row>
    <row r="37" spans="1:14" x14ac:dyDescent="0.2">
      <c r="A37" s="77" t="s">
        <v>59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9" t="s">
        <v>51</v>
      </c>
    </row>
    <row r="38" spans="1:14" ht="25.5" customHeight="1" x14ac:dyDescent="0.2">
      <c r="A38" s="76" t="s">
        <v>60</v>
      </c>
      <c r="B38" s="76"/>
      <c r="C38" s="76"/>
      <c r="D38" s="76"/>
      <c r="E38" s="76"/>
      <c r="F38" s="76"/>
      <c r="G38" s="76"/>
      <c r="H38" s="76"/>
      <c r="I38" s="76"/>
      <c r="J38" s="76"/>
      <c r="K38" s="32"/>
      <c r="L38" s="20"/>
    </row>
    <row r="39" spans="1:14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2" t="s">
        <v>61</v>
      </c>
      <c r="K39" s="34">
        <f>IF(K38&gt;3.6,3.6,K38)</f>
        <v>0</v>
      </c>
      <c r="L39" s="20"/>
    </row>
    <row r="40" spans="1:14" x14ac:dyDescent="0.2">
      <c r="A40" s="81" t="s">
        <v>62</v>
      </c>
      <c r="B40" s="81"/>
      <c r="C40" s="81"/>
      <c r="D40" s="81"/>
      <c r="E40" s="81"/>
      <c r="F40" s="81"/>
      <c r="G40" s="81"/>
      <c r="H40" s="81"/>
      <c r="I40" s="81"/>
      <c r="J40" s="81" t="s">
        <v>62</v>
      </c>
      <c r="K40" s="32"/>
      <c r="L40" s="20"/>
    </row>
    <row r="41" spans="1:14" x14ac:dyDescent="0.2">
      <c r="A41" s="81" t="s">
        <v>63</v>
      </c>
      <c r="B41" s="81"/>
      <c r="C41" s="81"/>
      <c r="D41" s="81"/>
      <c r="E41" s="81"/>
      <c r="F41" s="81"/>
      <c r="G41" s="81"/>
      <c r="H41" s="81"/>
      <c r="I41" s="81"/>
      <c r="J41" s="81"/>
      <c r="K41" s="34">
        <f>K39*K40*6/12</f>
        <v>0</v>
      </c>
      <c r="L41" s="20"/>
    </row>
    <row r="42" spans="1:14" ht="13.5" customHeight="1" x14ac:dyDescent="0.2">
      <c r="A42" s="63"/>
      <c r="B42" s="62"/>
      <c r="C42" s="62"/>
      <c r="D42" s="62"/>
      <c r="E42" s="62"/>
      <c r="F42" s="62"/>
      <c r="G42" s="62"/>
      <c r="H42" s="62"/>
      <c r="I42" s="62"/>
      <c r="J42" s="17" t="s">
        <v>64</v>
      </c>
      <c r="K42" s="35">
        <f>K41*7.48</f>
        <v>0</v>
      </c>
      <c r="L42" s="20"/>
    </row>
    <row r="44" spans="1:14" ht="15.75" x14ac:dyDescent="0.25">
      <c r="A44" s="31" t="s">
        <v>65</v>
      </c>
      <c r="C44" s="2"/>
      <c r="N44" s="14" t="s">
        <v>40</v>
      </c>
    </row>
    <row r="45" spans="1:14" x14ac:dyDescent="0.2">
      <c r="A45" s="77" t="s">
        <v>41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</row>
    <row r="46" spans="1:14" s="4" customFormat="1" ht="25.5" x14ac:dyDescent="0.2">
      <c r="A46" s="18" t="s">
        <v>42</v>
      </c>
      <c r="B46" s="82" t="s">
        <v>43</v>
      </c>
      <c r="C46" s="82"/>
      <c r="D46" s="9" t="s">
        <v>10</v>
      </c>
      <c r="E46" s="9" t="s">
        <v>44</v>
      </c>
      <c r="F46" s="9" t="s">
        <v>45</v>
      </c>
      <c r="G46" s="9" t="s">
        <v>46</v>
      </c>
      <c r="H46" s="9" t="s">
        <v>47</v>
      </c>
      <c r="I46" s="9" t="s">
        <v>48</v>
      </c>
      <c r="J46" s="9" t="s">
        <v>49</v>
      </c>
      <c r="K46" s="9" t="s">
        <v>50</v>
      </c>
      <c r="L46" s="9" t="s">
        <v>51</v>
      </c>
    </row>
    <row r="47" spans="1:14" ht="12.75" customHeight="1" x14ac:dyDescent="0.2">
      <c r="A47" s="3">
        <v>1</v>
      </c>
      <c r="B47" s="80"/>
      <c r="C47" s="80"/>
      <c r="D47" s="10"/>
      <c r="E47" s="15" t="s">
        <v>52</v>
      </c>
      <c r="F47" s="24" cm="1">
        <f t="array" ref="F47">_xlfn.IFS(E47="above invert",0.5,E47="below invert",1,E47="ponding",1,E47=" ",0)</f>
        <v>0</v>
      </c>
      <c r="G47" s="11"/>
      <c r="H47" s="10"/>
      <c r="I47" s="10"/>
      <c r="J47" s="12">
        <f>H47*I47</f>
        <v>0</v>
      </c>
      <c r="K47" s="13">
        <f>D47*G47*J47*F47</f>
        <v>0</v>
      </c>
      <c r="L47" s="79"/>
    </row>
    <row r="48" spans="1:14" x14ac:dyDescent="0.2">
      <c r="A48" s="3">
        <v>2</v>
      </c>
      <c r="B48" s="80"/>
      <c r="C48" s="80"/>
      <c r="D48" s="10"/>
      <c r="E48" s="15" t="s">
        <v>52</v>
      </c>
      <c r="F48" s="24" cm="1">
        <f t="array" ref="F48">_xlfn.IFS(E48="above invert",0.5,E48="below invert",1,E48="ponding",1,E48=" ",0)</f>
        <v>0</v>
      </c>
      <c r="G48" s="11"/>
      <c r="H48" s="10"/>
      <c r="I48" s="10"/>
      <c r="J48" s="12">
        <f t="shared" ref="J48:J51" si="1">H48*I48</f>
        <v>0</v>
      </c>
      <c r="K48" s="13">
        <f>D48*G48*J48*F48</f>
        <v>0</v>
      </c>
      <c r="L48" s="79"/>
    </row>
    <row r="49" spans="1:12" x14ac:dyDescent="0.2">
      <c r="A49" s="3">
        <v>3</v>
      </c>
      <c r="B49" s="80"/>
      <c r="C49" s="80"/>
      <c r="D49" s="10"/>
      <c r="E49" s="15" t="s">
        <v>52</v>
      </c>
      <c r="F49" s="24" cm="1">
        <f t="array" ref="F49">_xlfn.IFS(E49="above invert",0.5,E49="below invert",1,E49="ponding",1,E49=" ",0)</f>
        <v>0</v>
      </c>
      <c r="G49" s="11"/>
      <c r="H49" s="10"/>
      <c r="I49" s="10"/>
      <c r="J49" s="12">
        <f t="shared" si="1"/>
        <v>0</v>
      </c>
      <c r="K49" s="13">
        <f>D49*G49*J49*F49</f>
        <v>0</v>
      </c>
      <c r="L49" s="79"/>
    </row>
    <row r="50" spans="1:12" x14ac:dyDescent="0.2">
      <c r="A50" s="3">
        <v>4</v>
      </c>
      <c r="B50" s="80"/>
      <c r="C50" s="80"/>
      <c r="D50" s="10"/>
      <c r="E50" s="15" t="s">
        <v>52</v>
      </c>
      <c r="F50" s="24" cm="1">
        <f t="array" ref="F50">_xlfn.IFS(E50="above invert",0.5,E50="below invert",1,E50="ponding",1,E50=" ",0)</f>
        <v>0</v>
      </c>
      <c r="G50" s="11"/>
      <c r="H50" s="10"/>
      <c r="I50" s="10"/>
      <c r="J50" s="12">
        <f t="shared" si="1"/>
        <v>0</v>
      </c>
      <c r="K50" s="13">
        <f>D50*G50*J50*F50</f>
        <v>0</v>
      </c>
      <c r="L50" s="79"/>
    </row>
    <row r="51" spans="1:12" x14ac:dyDescent="0.2">
      <c r="A51" s="3">
        <v>5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0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J52" s="62" t="s">
        <v>53</v>
      </c>
      <c r="K52" s="13">
        <f>SUM(K47:K51)</f>
        <v>0</v>
      </c>
      <c r="L52" s="79"/>
    </row>
    <row r="53" spans="1:12" x14ac:dyDescent="0.2">
      <c r="C53" s="14"/>
      <c r="D53" s="14"/>
      <c r="E53" s="14"/>
      <c r="F53" s="14"/>
      <c r="G53" s="14"/>
      <c r="H53" s="14"/>
      <c r="I53" s="14"/>
      <c r="J53" s="17" t="s">
        <v>54</v>
      </c>
      <c r="K53" s="16">
        <f>K52*7.48</f>
        <v>0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K54" s="17"/>
      <c r="L54" s="17"/>
    </row>
    <row r="55" spans="1:12" x14ac:dyDescent="0.2">
      <c r="A55" s="77" t="s">
        <v>55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9" t="s">
        <v>51</v>
      </c>
    </row>
    <row r="56" spans="1:12" x14ac:dyDescent="0.2">
      <c r="A56" s="76" t="s">
        <v>56</v>
      </c>
      <c r="B56" s="76"/>
      <c r="C56" s="76"/>
      <c r="D56" s="76"/>
      <c r="E56" s="76"/>
      <c r="F56" s="76"/>
      <c r="G56" s="76"/>
      <c r="H56" s="76"/>
      <c r="I56" s="76"/>
      <c r="J56" s="76"/>
      <c r="K56" s="36"/>
      <c r="L56" s="20"/>
    </row>
    <row r="57" spans="1:12" x14ac:dyDescent="0.2">
      <c r="A57" s="81" t="s">
        <v>57</v>
      </c>
      <c r="B57" s="81"/>
      <c r="C57" s="81"/>
      <c r="D57" s="81"/>
      <c r="E57" s="81"/>
      <c r="F57" s="81"/>
      <c r="G57" s="81"/>
      <c r="H57" s="81"/>
      <c r="I57" s="81"/>
      <c r="J57" s="81"/>
      <c r="K57" s="36"/>
      <c r="L57" s="20"/>
    </row>
    <row r="58" spans="1:12" ht="25.5" customHeight="1" x14ac:dyDescent="0.2">
      <c r="A58" s="76" t="s">
        <v>58</v>
      </c>
      <c r="B58" s="76"/>
      <c r="C58" s="76"/>
      <c r="D58" s="76"/>
      <c r="E58" s="76"/>
      <c r="F58" s="76"/>
      <c r="G58" s="76"/>
      <c r="H58" s="76"/>
      <c r="I58" s="76"/>
      <c r="J58" s="76"/>
      <c r="K58" s="33">
        <f>K56-K57</f>
        <v>0</v>
      </c>
      <c r="L58" s="20"/>
    </row>
    <row r="59" spans="1:12" x14ac:dyDescent="0.2">
      <c r="C59" s="14"/>
      <c r="D59" s="14"/>
      <c r="E59" s="14"/>
      <c r="F59" s="14"/>
      <c r="G59" s="14"/>
      <c r="H59" s="14"/>
      <c r="I59" s="14"/>
      <c r="K59" s="17"/>
      <c r="L59" s="17"/>
    </row>
    <row r="60" spans="1:12" x14ac:dyDescent="0.2">
      <c r="A60" s="77" t="s">
        <v>59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9" t="s">
        <v>51</v>
      </c>
    </row>
    <row r="61" spans="1:12" ht="25.5" customHeight="1" x14ac:dyDescent="0.2">
      <c r="A61" s="76" t="s">
        <v>60</v>
      </c>
      <c r="B61" s="76"/>
      <c r="C61" s="76"/>
      <c r="D61" s="76"/>
      <c r="E61" s="76"/>
      <c r="F61" s="76"/>
      <c r="G61" s="76"/>
      <c r="H61" s="76"/>
      <c r="I61" s="76"/>
      <c r="J61" s="76"/>
      <c r="K61" s="32"/>
      <c r="L61" s="20"/>
    </row>
    <row r="62" spans="1:12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2" t="s">
        <v>61</v>
      </c>
      <c r="K62" s="34">
        <f>IF(K61&gt;3.6,3.6,K61)</f>
        <v>0</v>
      </c>
      <c r="L62" s="20"/>
    </row>
    <row r="63" spans="1:12" x14ac:dyDescent="0.2">
      <c r="A63" s="81" t="s">
        <v>62</v>
      </c>
      <c r="B63" s="81"/>
      <c r="C63" s="81"/>
      <c r="D63" s="81"/>
      <c r="E63" s="81"/>
      <c r="F63" s="81"/>
      <c r="G63" s="81"/>
      <c r="H63" s="81"/>
      <c r="I63" s="81"/>
      <c r="J63" s="81" t="s">
        <v>62</v>
      </c>
      <c r="K63" s="36"/>
      <c r="L63" s="20"/>
    </row>
    <row r="64" spans="1:12" x14ac:dyDescent="0.2">
      <c r="A64" s="81" t="s">
        <v>63</v>
      </c>
      <c r="B64" s="81"/>
      <c r="C64" s="81"/>
      <c r="D64" s="81"/>
      <c r="E64" s="81"/>
      <c r="F64" s="81"/>
      <c r="G64" s="81"/>
      <c r="H64" s="81"/>
      <c r="I64" s="81"/>
      <c r="J64" s="81"/>
      <c r="K64" s="34">
        <f>K62*K63*6/12</f>
        <v>0</v>
      </c>
      <c r="L64" s="20"/>
    </row>
    <row r="65" spans="1:14" ht="13.5" customHeight="1" x14ac:dyDescent="0.2">
      <c r="A65" s="63"/>
      <c r="B65" s="62"/>
      <c r="C65" s="62"/>
      <c r="D65" s="62"/>
      <c r="E65" s="62"/>
      <c r="F65" s="62"/>
      <c r="G65" s="62"/>
      <c r="H65" s="62"/>
      <c r="I65" s="62"/>
      <c r="J65" s="17" t="s">
        <v>64</v>
      </c>
      <c r="K65" s="35">
        <f>K64*7.48</f>
        <v>0</v>
      </c>
      <c r="L65" s="20"/>
    </row>
    <row r="67" spans="1:14" ht="15.75" x14ac:dyDescent="0.25">
      <c r="A67" s="31" t="s">
        <v>66</v>
      </c>
      <c r="C67" s="2"/>
      <c r="N67" s="14" t="s">
        <v>40</v>
      </c>
    </row>
    <row r="68" spans="1:14" x14ac:dyDescent="0.2">
      <c r="A68" s="77" t="s">
        <v>41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</row>
    <row r="69" spans="1:14" s="4" customFormat="1" ht="25.5" x14ac:dyDescent="0.2">
      <c r="A69" s="18" t="s">
        <v>42</v>
      </c>
      <c r="B69" s="82" t="s">
        <v>43</v>
      </c>
      <c r="C69" s="82"/>
      <c r="D69" s="9" t="s">
        <v>10</v>
      </c>
      <c r="E69" s="9" t="s">
        <v>44</v>
      </c>
      <c r="F69" s="9" t="s">
        <v>45</v>
      </c>
      <c r="G69" s="9" t="s">
        <v>46</v>
      </c>
      <c r="H69" s="9" t="s">
        <v>47</v>
      </c>
      <c r="I69" s="9" t="s">
        <v>48</v>
      </c>
      <c r="J69" s="9" t="s">
        <v>49</v>
      </c>
      <c r="K69" s="9" t="s">
        <v>50</v>
      </c>
      <c r="L69" s="9" t="s">
        <v>51</v>
      </c>
    </row>
    <row r="70" spans="1:14" ht="12.75" customHeight="1" x14ac:dyDescent="0.2">
      <c r="A70" s="3">
        <v>1</v>
      </c>
      <c r="B70" s="80"/>
      <c r="C70" s="80"/>
      <c r="D70" s="10"/>
      <c r="E70" s="15" t="s">
        <v>52</v>
      </c>
      <c r="F70" s="24" cm="1">
        <f t="array" ref="F70">_xlfn.IFS(E70="above invert",0.5,E70="below invert",1,E70="ponding",1,E70=" ",0)</f>
        <v>0</v>
      </c>
      <c r="G70" s="11"/>
      <c r="H70" s="10"/>
      <c r="I70" s="10"/>
      <c r="J70" s="12">
        <f>H70*I70</f>
        <v>0</v>
      </c>
      <c r="K70" s="13">
        <f>D70*G70*J70*F70</f>
        <v>0</v>
      </c>
      <c r="L70" s="79"/>
    </row>
    <row r="71" spans="1:14" x14ac:dyDescent="0.2">
      <c r="A71" s="3">
        <v>2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 t="shared" ref="J71:J74" si="2">H71*I71</f>
        <v>0</v>
      </c>
      <c r="K71" s="13">
        <f>D71*G71*J71*F71</f>
        <v>0</v>
      </c>
      <c r="L71" s="79"/>
    </row>
    <row r="72" spans="1:14" x14ac:dyDescent="0.2">
      <c r="A72" s="3">
        <v>3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si="2"/>
        <v>0</v>
      </c>
      <c r="K72" s="13">
        <f>D72*G72*J72*F72</f>
        <v>0</v>
      </c>
      <c r="L72" s="79"/>
    </row>
    <row r="73" spans="1:14" x14ac:dyDescent="0.2">
      <c r="A73" s="3">
        <v>4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5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0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J75" s="62" t="s">
        <v>53</v>
      </c>
      <c r="K75" s="13">
        <f>SUM(K70:K74)</f>
        <v>0</v>
      </c>
      <c r="L75" s="79"/>
    </row>
    <row r="76" spans="1:14" x14ac:dyDescent="0.2">
      <c r="C76" s="14"/>
      <c r="D76" s="14"/>
      <c r="E76" s="14"/>
      <c r="F76" s="14"/>
      <c r="G76" s="14"/>
      <c r="H76" s="14"/>
      <c r="I76" s="14"/>
      <c r="J76" s="17" t="s">
        <v>54</v>
      </c>
      <c r="K76" s="16">
        <f>K75*7.48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K77" s="17"/>
      <c r="L77" s="17"/>
    </row>
    <row r="78" spans="1:14" x14ac:dyDescent="0.2">
      <c r="A78" s="77" t="s">
        <v>55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9" t="s">
        <v>51</v>
      </c>
    </row>
    <row r="79" spans="1:14" x14ac:dyDescent="0.2">
      <c r="A79" s="76" t="s">
        <v>56</v>
      </c>
      <c r="B79" s="76"/>
      <c r="C79" s="76"/>
      <c r="D79" s="76"/>
      <c r="E79" s="76"/>
      <c r="F79" s="76"/>
      <c r="G79" s="76"/>
      <c r="H79" s="76"/>
      <c r="I79" s="76"/>
      <c r="J79" s="76"/>
      <c r="K79" s="32"/>
      <c r="L79" s="20"/>
    </row>
    <row r="80" spans="1:14" x14ac:dyDescent="0.2">
      <c r="A80" s="81" t="s">
        <v>57</v>
      </c>
      <c r="B80" s="81"/>
      <c r="C80" s="81"/>
      <c r="D80" s="81"/>
      <c r="E80" s="81"/>
      <c r="F80" s="81"/>
      <c r="G80" s="81"/>
      <c r="H80" s="81"/>
      <c r="I80" s="81"/>
      <c r="J80" s="81"/>
      <c r="K80" s="32"/>
      <c r="L80" s="20"/>
    </row>
    <row r="81" spans="1:14" ht="25.5" customHeight="1" x14ac:dyDescent="0.2">
      <c r="A81" s="76" t="s">
        <v>58</v>
      </c>
      <c r="B81" s="76"/>
      <c r="C81" s="76"/>
      <c r="D81" s="76"/>
      <c r="E81" s="76"/>
      <c r="F81" s="76"/>
      <c r="G81" s="76"/>
      <c r="H81" s="76"/>
      <c r="I81" s="76"/>
      <c r="J81" s="76"/>
      <c r="K81" s="33">
        <f>K79-K80</f>
        <v>0</v>
      </c>
      <c r="L81" s="20"/>
    </row>
    <row r="82" spans="1:14" x14ac:dyDescent="0.2">
      <c r="C82" s="14"/>
      <c r="D82" s="14"/>
      <c r="E82" s="14"/>
      <c r="F82" s="14"/>
      <c r="G82" s="14"/>
      <c r="H82" s="14"/>
      <c r="I82" s="14"/>
      <c r="K82" s="17"/>
      <c r="L82" s="17"/>
    </row>
    <row r="83" spans="1:14" x14ac:dyDescent="0.2">
      <c r="A83" s="77" t="s">
        <v>59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9" t="s">
        <v>51</v>
      </c>
    </row>
    <row r="84" spans="1:14" ht="25.5" customHeight="1" x14ac:dyDescent="0.2">
      <c r="A84" s="76" t="s">
        <v>60</v>
      </c>
      <c r="B84" s="76"/>
      <c r="C84" s="76"/>
      <c r="D84" s="76"/>
      <c r="E84" s="76"/>
      <c r="F84" s="76"/>
      <c r="G84" s="76"/>
      <c r="H84" s="76"/>
      <c r="I84" s="76"/>
      <c r="J84" s="76"/>
      <c r="K84" s="32"/>
      <c r="L84" s="20"/>
    </row>
    <row r="85" spans="1:14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2" t="s">
        <v>61</v>
      </c>
      <c r="K85" s="34">
        <f>IF(K84&gt;3.6,3.6,K84)</f>
        <v>0</v>
      </c>
      <c r="L85" s="20"/>
    </row>
    <row r="86" spans="1:14" x14ac:dyDescent="0.2">
      <c r="A86" s="81" t="s">
        <v>62</v>
      </c>
      <c r="B86" s="81"/>
      <c r="C86" s="81"/>
      <c r="D86" s="81"/>
      <c r="E86" s="81"/>
      <c r="F86" s="81"/>
      <c r="G86" s="81"/>
      <c r="H86" s="81"/>
      <c r="I86" s="81"/>
      <c r="J86" s="81" t="s">
        <v>62</v>
      </c>
      <c r="K86" s="32"/>
      <c r="L86" s="20"/>
    </row>
    <row r="87" spans="1:14" x14ac:dyDescent="0.2">
      <c r="A87" s="81" t="s">
        <v>63</v>
      </c>
      <c r="B87" s="81"/>
      <c r="C87" s="81"/>
      <c r="D87" s="81"/>
      <c r="E87" s="81"/>
      <c r="F87" s="81"/>
      <c r="G87" s="81"/>
      <c r="H87" s="81"/>
      <c r="I87" s="81"/>
      <c r="J87" s="81"/>
      <c r="K87" s="34">
        <f>K85*K86*6/12</f>
        <v>0</v>
      </c>
      <c r="L87" s="20"/>
    </row>
    <row r="88" spans="1:14" ht="13.5" customHeight="1" x14ac:dyDescent="0.2">
      <c r="A88" s="63"/>
      <c r="B88" s="62"/>
      <c r="C88" s="62"/>
      <c r="D88" s="62"/>
      <c r="E88" s="62"/>
      <c r="F88" s="62"/>
      <c r="G88" s="62"/>
      <c r="H88" s="62"/>
      <c r="I88" s="62"/>
      <c r="J88" s="17" t="s">
        <v>64</v>
      </c>
      <c r="K88" s="35">
        <f>K87*7.48</f>
        <v>0</v>
      </c>
      <c r="L88" s="20"/>
    </row>
    <row r="90" spans="1:14" ht="15.75" x14ac:dyDescent="0.25">
      <c r="A90" s="31" t="s">
        <v>67</v>
      </c>
      <c r="C90" s="2"/>
      <c r="N90" s="14" t="s">
        <v>40</v>
      </c>
    </row>
    <row r="91" spans="1:14" x14ac:dyDescent="0.2">
      <c r="A91" s="77" t="s">
        <v>41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</row>
    <row r="92" spans="1:14" s="4" customFormat="1" ht="25.5" x14ac:dyDescent="0.2">
      <c r="A92" s="18" t="s">
        <v>42</v>
      </c>
      <c r="B92" s="82" t="s">
        <v>43</v>
      </c>
      <c r="C92" s="82"/>
      <c r="D92" s="9" t="s">
        <v>10</v>
      </c>
      <c r="E92" s="9" t="s">
        <v>44</v>
      </c>
      <c r="F92" s="9" t="s">
        <v>45</v>
      </c>
      <c r="G92" s="9" t="s">
        <v>46</v>
      </c>
      <c r="H92" s="9" t="s">
        <v>47</v>
      </c>
      <c r="I92" s="9" t="s">
        <v>48</v>
      </c>
      <c r="J92" s="9" t="s">
        <v>49</v>
      </c>
      <c r="K92" s="9" t="s">
        <v>50</v>
      </c>
      <c r="L92" s="9" t="s">
        <v>51</v>
      </c>
    </row>
    <row r="93" spans="1:14" ht="12.75" customHeight="1" x14ac:dyDescent="0.2">
      <c r="A93" s="3">
        <v>1</v>
      </c>
      <c r="B93" s="80"/>
      <c r="C93" s="80"/>
      <c r="D93" s="10"/>
      <c r="E93" s="15" t="s">
        <v>52</v>
      </c>
      <c r="F93" s="24" cm="1">
        <f t="array" ref="F93">_xlfn.IFS(E93="above invert",0.5,E93="below invert",1,E93="ponding",1,E93=" ",0)</f>
        <v>0</v>
      </c>
      <c r="G93" s="11"/>
      <c r="H93" s="10"/>
      <c r="I93" s="10"/>
      <c r="J93" s="12">
        <f>H93*I93</f>
        <v>0</v>
      </c>
      <c r="K93" s="13">
        <f>D93*G93*J93*F93</f>
        <v>0</v>
      </c>
      <c r="L93" s="79"/>
    </row>
    <row r="94" spans="1:14" x14ac:dyDescent="0.2">
      <c r="A94" s="3">
        <v>2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 t="shared" ref="J94:J97" si="3">H94*I94</f>
        <v>0</v>
      </c>
      <c r="K94" s="13">
        <f>D94*G94*J94*F94</f>
        <v>0</v>
      </c>
      <c r="L94" s="79"/>
    </row>
    <row r="95" spans="1:14" x14ac:dyDescent="0.2">
      <c r="A95" s="3">
        <v>3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si="3"/>
        <v>0</v>
      </c>
      <c r="K95" s="13">
        <f>D95*G95*J95*F95</f>
        <v>0</v>
      </c>
      <c r="L95" s="79"/>
    </row>
    <row r="96" spans="1:14" x14ac:dyDescent="0.2">
      <c r="A96" s="3">
        <v>4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5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0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J98" s="62" t="s">
        <v>53</v>
      </c>
      <c r="K98" s="13">
        <f>SUM(K93:K97)</f>
        <v>0</v>
      </c>
      <c r="L98" s="79"/>
    </row>
    <row r="99" spans="1:12" x14ac:dyDescent="0.2">
      <c r="C99" s="14"/>
      <c r="D99" s="14"/>
      <c r="E99" s="14"/>
      <c r="F99" s="14"/>
      <c r="G99" s="14"/>
      <c r="H99" s="14"/>
      <c r="I99" s="14"/>
      <c r="J99" s="17" t="s">
        <v>54</v>
      </c>
      <c r="K99" s="16">
        <f>K98*7.48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K100" s="17"/>
      <c r="L100" s="17"/>
    </row>
    <row r="101" spans="1:12" x14ac:dyDescent="0.2">
      <c r="A101" s="77" t="s">
        <v>55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9" t="s">
        <v>51</v>
      </c>
    </row>
    <row r="102" spans="1:12" x14ac:dyDescent="0.2">
      <c r="A102" s="76" t="s">
        <v>56</v>
      </c>
      <c r="B102" s="76"/>
      <c r="C102" s="76"/>
      <c r="D102" s="76"/>
      <c r="E102" s="76"/>
      <c r="F102" s="76"/>
      <c r="G102" s="76"/>
      <c r="H102" s="76"/>
      <c r="I102" s="76"/>
      <c r="J102" s="76"/>
      <c r="K102" s="32"/>
      <c r="L102" s="20"/>
    </row>
    <row r="103" spans="1:12" x14ac:dyDescent="0.2">
      <c r="A103" s="81" t="s">
        <v>57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32"/>
      <c r="L103" s="20"/>
    </row>
    <row r="104" spans="1:12" ht="25.5" customHeight="1" x14ac:dyDescent="0.2">
      <c r="A104" s="76" t="s">
        <v>58</v>
      </c>
      <c r="B104" s="76"/>
      <c r="C104" s="76"/>
      <c r="D104" s="76"/>
      <c r="E104" s="76"/>
      <c r="F104" s="76"/>
      <c r="G104" s="76"/>
      <c r="H104" s="76"/>
      <c r="I104" s="76"/>
      <c r="J104" s="76"/>
      <c r="K104" s="33">
        <f>K102-K103</f>
        <v>0</v>
      </c>
      <c r="L104" s="20"/>
    </row>
    <row r="105" spans="1:12" x14ac:dyDescent="0.2">
      <c r="C105" s="14"/>
      <c r="D105" s="14"/>
      <c r="E105" s="14"/>
      <c r="F105" s="14"/>
      <c r="G105" s="14"/>
      <c r="H105" s="14"/>
      <c r="I105" s="14"/>
      <c r="K105" s="17"/>
      <c r="L105" s="17"/>
    </row>
    <row r="106" spans="1:12" x14ac:dyDescent="0.2">
      <c r="A106" s="77" t="s">
        <v>59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9" t="s">
        <v>51</v>
      </c>
    </row>
    <row r="107" spans="1:12" ht="25.5" customHeight="1" x14ac:dyDescent="0.2">
      <c r="A107" s="76" t="s">
        <v>60</v>
      </c>
      <c r="B107" s="76"/>
      <c r="C107" s="76"/>
      <c r="D107" s="76"/>
      <c r="E107" s="76"/>
      <c r="F107" s="76"/>
      <c r="G107" s="76"/>
      <c r="H107" s="76"/>
      <c r="I107" s="76"/>
      <c r="J107" s="76"/>
      <c r="K107" s="32"/>
      <c r="L107" s="20"/>
    </row>
    <row r="108" spans="1:12" x14ac:dyDescent="0.2">
      <c r="A108" s="63"/>
      <c r="B108" s="63"/>
      <c r="C108" s="63"/>
      <c r="D108" s="63"/>
      <c r="E108" s="63"/>
      <c r="F108" s="63"/>
      <c r="G108" s="63"/>
      <c r="H108" s="63"/>
      <c r="I108" s="63"/>
      <c r="J108" s="62" t="s">
        <v>61</v>
      </c>
      <c r="K108" s="34">
        <f>IF(K107&gt;3.6,3.6,K107)</f>
        <v>0</v>
      </c>
      <c r="L108" s="20"/>
    </row>
    <row r="109" spans="1:12" x14ac:dyDescent="0.2">
      <c r="A109" s="81" t="s">
        <v>62</v>
      </c>
      <c r="B109" s="81"/>
      <c r="C109" s="81"/>
      <c r="D109" s="81"/>
      <c r="E109" s="81"/>
      <c r="F109" s="81"/>
      <c r="G109" s="81"/>
      <c r="H109" s="81"/>
      <c r="I109" s="81"/>
      <c r="J109" s="81" t="s">
        <v>62</v>
      </c>
      <c r="K109" s="32"/>
      <c r="L109" s="20"/>
    </row>
    <row r="110" spans="1:12" x14ac:dyDescent="0.2">
      <c r="A110" s="81" t="s">
        <v>63</v>
      </c>
      <c r="B110" s="81"/>
      <c r="C110" s="81"/>
      <c r="D110" s="81"/>
      <c r="E110" s="81"/>
      <c r="F110" s="81"/>
      <c r="G110" s="81"/>
      <c r="H110" s="81"/>
      <c r="I110" s="81"/>
      <c r="J110" s="81"/>
      <c r="K110" s="34">
        <f>K108*K109*6/12</f>
        <v>0</v>
      </c>
      <c r="L110" s="20"/>
    </row>
    <row r="111" spans="1:12" ht="13.5" customHeight="1" x14ac:dyDescent="0.2">
      <c r="A111" s="63"/>
      <c r="B111" s="62"/>
      <c r="C111" s="62"/>
      <c r="D111" s="62"/>
      <c r="E111" s="62"/>
      <c r="F111" s="62"/>
      <c r="G111" s="62"/>
      <c r="H111" s="62"/>
      <c r="I111" s="62"/>
      <c r="J111" s="17" t="s">
        <v>64</v>
      </c>
      <c r="K111" s="35">
        <f>K110*7.48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</row>
    <row r="113" spans="1:14" ht="15.75" x14ac:dyDescent="0.25">
      <c r="A113" s="31" t="s">
        <v>68</v>
      </c>
      <c r="C113" s="2"/>
      <c r="N113" s="14" t="s">
        <v>40</v>
      </c>
    </row>
    <row r="114" spans="1:14" x14ac:dyDescent="0.2">
      <c r="A114" s="77" t="s">
        <v>41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</row>
    <row r="115" spans="1:14" s="4" customFormat="1" ht="25.5" x14ac:dyDescent="0.2">
      <c r="A115" s="18" t="s">
        <v>42</v>
      </c>
      <c r="B115" s="82" t="s">
        <v>43</v>
      </c>
      <c r="C115" s="82"/>
      <c r="D115" s="9" t="s">
        <v>10</v>
      </c>
      <c r="E115" s="9" t="s">
        <v>44</v>
      </c>
      <c r="F115" s="9" t="s">
        <v>45</v>
      </c>
      <c r="G115" s="9" t="s">
        <v>46</v>
      </c>
      <c r="H115" s="9" t="s">
        <v>47</v>
      </c>
      <c r="I115" s="9" t="s">
        <v>48</v>
      </c>
      <c r="J115" s="9" t="s">
        <v>49</v>
      </c>
      <c r="K115" s="9" t="s">
        <v>50</v>
      </c>
      <c r="L115" s="9" t="s">
        <v>51</v>
      </c>
    </row>
    <row r="116" spans="1:14" ht="12.75" customHeight="1" x14ac:dyDescent="0.2">
      <c r="A116" s="3">
        <v>1</v>
      </c>
      <c r="B116" s="80"/>
      <c r="C116" s="80"/>
      <c r="D116" s="10"/>
      <c r="E116" s="15" t="s">
        <v>52</v>
      </c>
      <c r="F116" s="24" cm="1">
        <f t="array" ref="F116">_xlfn.IFS(E116="above invert",0.5,E116="below invert",1,E116="ponding",1,E116=" ",0)</f>
        <v>0</v>
      </c>
      <c r="G116" s="11"/>
      <c r="H116" s="10"/>
      <c r="I116" s="10"/>
      <c r="J116" s="12">
        <f>H116*I116</f>
        <v>0</v>
      </c>
      <c r="K116" s="13">
        <f>D116*G116*J116*F116</f>
        <v>0</v>
      </c>
      <c r="L116" s="79"/>
    </row>
    <row r="117" spans="1:14" x14ac:dyDescent="0.2">
      <c r="A117" s="3">
        <v>2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 t="shared" ref="J117:J120" si="4">H117*I117</f>
        <v>0</v>
      </c>
      <c r="K117" s="13">
        <f>D117*G117*J117*F117</f>
        <v>0</v>
      </c>
      <c r="L117" s="79"/>
    </row>
    <row r="118" spans="1:14" x14ac:dyDescent="0.2">
      <c r="A118" s="3">
        <v>3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si="4"/>
        <v>0</v>
      </c>
      <c r="K118" s="13">
        <f>D118*G118*J118*F118</f>
        <v>0</v>
      </c>
      <c r="L118" s="79"/>
    </row>
    <row r="119" spans="1:14" x14ac:dyDescent="0.2">
      <c r="A119" s="3">
        <v>4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5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0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J121" s="62" t="s">
        <v>53</v>
      </c>
      <c r="K121" s="13">
        <f>SUM(K116:K120)</f>
        <v>0</v>
      </c>
      <c r="L121" s="79"/>
    </row>
    <row r="122" spans="1:14" x14ac:dyDescent="0.2">
      <c r="C122" s="14"/>
      <c r="D122" s="14"/>
      <c r="E122" s="14"/>
      <c r="F122" s="14"/>
      <c r="G122" s="14"/>
      <c r="H122" s="14"/>
      <c r="I122" s="14"/>
      <c r="J122" s="17" t="s">
        <v>54</v>
      </c>
      <c r="K122" s="16">
        <f>K121*7.48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K123" s="17"/>
      <c r="L123" s="17"/>
    </row>
    <row r="124" spans="1:14" x14ac:dyDescent="0.2">
      <c r="A124" s="77" t="s">
        <v>55</v>
      </c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9" t="s">
        <v>51</v>
      </c>
    </row>
    <row r="125" spans="1:14" x14ac:dyDescent="0.2">
      <c r="A125" s="76" t="s">
        <v>56</v>
      </c>
      <c r="B125" s="76"/>
      <c r="C125" s="76"/>
      <c r="D125" s="76"/>
      <c r="E125" s="76"/>
      <c r="F125" s="76"/>
      <c r="G125" s="76"/>
      <c r="H125" s="76"/>
      <c r="I125" s="76"/>
      <c r="J125" s="76"/>
      <c r="K125" s="32"/>
      <c r="L125" s="20"/>
    </row>
    <row r="126" spans="1:14" x14ac:dyDescent="0.2">
      <c r="A126" s="81" t="s">
        <v>57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32"/>
      <c r="L126" s="20"/>
    </row>
    <row r="127" spans="1:14" ht="25.5" customHeight="1" x14ac:dyDescent="0.2">
      <c r="A127" s="76" t="s">
        <v>58</v>
      </c>
      <c r="B127" s="76"/>
      <c r="C127" s="76"/>
      <c r="D127" s="76"/>
      <c r="E127" s="76"/>
      <c r="F127" s="76"/>
      <c r="G127" s="76"/>
      <c r="H127" s="76"/>
      <c r="I127" s="76"/>
      <c r="J127" s="76"/>
      <c r="K127" s="33">
        <f>K125-K126</f>
        <v>0</v>
      </c>
      <c r="L127" s="20"/>
    </row>
    <row r="128" spans="1:14" x14ac:dyDescent="0.2">
      <c r="C128" s="14"/>
      <c r="D128" s="14"/>
      <c r="E128" s="14"/>
      <c r="F128" s="14"/>
      <c r="G128" s="14"/>
      <c r="H128" s="14"/>
      <c r="I128" s="14"/>
      <c r="K128" s="17"/>
      <c r="L128" s="17"/>
    </row>
    <row r="129" spans="1:12" x14ac:dyDescent="0.2">
      <c r="A129" s="77" t="s">
        <v>59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9" t="s">
        <v>51</v>
      </c>
    </row>
    <row r="130" spans="1:12" ht="25.5" customHeight="1" x14ac:dyDescent="0.2">
      <c r="A130" s="76" t="s">
        <v>60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32"/>
      <c r="L130" s="20"/>
    </row>
    <row r="131" spans="1:12" x14ac:dyDescent="0.2">
      <c r="A131" s="63"/>
      <c r="B131" s="63"/>
      <c r="C131" s="63"/>
      <c r="D131" s="63"/>
      <c r="E131" s="63"/>
      <c r="F131" s="63"/>
      <c r="G131" s="63"/>
      <c r="H131" s="63"/>
      <c r="I131" s="63"/>
      <c r="J131" s="62" t="s">
        <v>61</v>
      </c>
      <c r="K131" s="34">
        <f>IF(K130&gt;3.6,3.6,K130)</f>
        <v>0</v>
      </c>
      <c r="L131" s="20"/>
    </row>
    <row r="132" spans="1:12" x14ac:dyDescent="0.2">
      <c r="A132" s="81" t="s">
        <v>62</v>
      </c>
      <c r="B132" s="81"/>
      <c r="C132" s="81"/>
      <c r="D132" s="81"/>
      <c r="E132" s="81"/>
      <c r="F132" s="81"/>
      <c r="G132" s="81"/>
      <c r="H132" s="81"/>
      <c r="I132" s="81"/>
      <c r="J132" s="81" t="s">
        <v>62</v>
      </c>
      <c r="K132" s="32"/>
      <c r="L132" s="20"/>
    </row>
    <row r="133" spans="1:12" x14ac:dyDescent="0.2">
      <c r="A133" s="81" t="s">
        <v>63</v>
      </c>
      <c r="B133" s="81"/>
      <c r="C133" s="81"/>
      <c r="D133" s="81"/>
      <c r="E133" s="81"/>
      <c r="F133" s="81"/>
      <c r="G133" s="81"/>
      <c r="H133" s="81"/>
      <c r="I133" s="81"/>
      <c r="J133" s="81"/>
      <c r="K133" s="34">
        <f>K131*K132*6/12</f>
        <v>0</v>
      </c>
      <c r="L133" s="20"/>
    </row>
    <row r="134" spans="1:12" ht="13.5" customHeight="1" x14ac:dyDescent="0.2">
      <c r="A134" s="63"/>
      <c r="B134" s="62"/>
      <c r="C134" s="62"/>
      <c r="D134" s="62"/>
      <c r="E134" s="62"/>
      <c r="F134" s="62"/>
      <c r="G134" s="62"/>
      <c r="H134" s="62"/>
      <c r="I134" s="62"/>
      <c r="J134" s="17" t="s">
        <v>64</v>
      </c>
      <c r="K134" s="35">
        <f>K133*7.48</f>
        <v>0</v>
      </c>
      <c r="L134" s="20"/>
    </row>
  </sheetData>
  <mergeCells count="104">
    <mergeCell ref="A132:J132"/>
    <mergeCell ref="A133:J133"/>
    <mergeCell ref="A124:K124"/>
    <mergeCell ref="A125:J125"/>
    <mergeCell ref="A126:J126"/>
    <mergeCell ref="A127:J127"/>
    <mergeCell ref="A129:K129"/>
    <mergeCell ref="A130:J130"/>
    <mergeCell ref="A109:J109"/>
    <mergeCell ref="A110:J110"/>
    <mergeCell ref="A114:L114"/>
    <mergeCell ref="B115:C115"/>
    <mergeCell ref="B116:C116"/>
    <mergeCell ref="L116:L122"/>
    <mergeCell ref="B117:C117"/>
    <mergeCell ref="B118:C118"/>
    <mergeCell ref="B119:C119"/>
    <mergeCell ref="B120:C120"/>
    <mergeCell ref="A101:K101"/>
    <mergeCell ref="A102:J102"/>
    <mergeCell ref="A103:J103"/>
    <mergeCell ref="A104:J104"/>
    <mergeCell ref="A106:K106"/>
    <mergeCell ref="A107:J107"/>
    <mergeCell ref="A86:J86"/>
    <mergeCell ref="A87:J87"/>
    <mergeCell ref="A91:L91"/>
    <mergeCell ref="B92:C92"/>
    <mergeCell ref="B93:C93"/>
    <mergeCell ref="L93:L99"/>
    <mergeCell ref="B94:C94"/>
    <mergeCell ref="B95:C95"/>
    <mergeCell ref="B96:C96"/>
    <mergeCell ref="B97:C97"/>
    <mergeCell ref="A78:K78"/>
    <mergeCell ref="A79:J79"/>
    <mergeCell ref="A80:J80"/>
    <mergeCell ref="A81:J81"/>
    <mergeCell ref="A83:K83"/>
    <mergeCell ref="A84:J84"/>
    <mergeCell ref="A63:J63"/>
    <mergeCell ref="A64:J64"/>
    <mergeCell ref="A68:L68"/>
    <mergeCell ref="B69:C69"/>
    <mergeCell ref="B70:C70"/>
    <mergeCell ref="L70:L76"/>
    <mergeCell ref="B71:C71"/>
    <mergeCell ref="B72:C72"/>
    <mergeCell ref="B73:C73"/>
    <mergeCell ref="B74:C74"/>
    <mergeCell ref="A55:K55"/>
    <mergeCell ref="A56:J56"/>
    <mergeCell ref="A57:J57"/>
    <mergeCell ref="A58:J58"/>
    <mergeCell ref="A60:K60"/>
    <mergeCell ref="A61:J61"/>
    <mergeCell ref="A40:J40"/>
    <mergeCell ref="A41:J41"/>
    <mergeCell ref="A45:L45"/>
    <mergeCell ref="B46:C46"/>
    <mergeCell ref="B47:C47"/>
    <mergeCell ref="L47:L53"/>
    <mergeCell ref="B48:C48"/>
    <mergeCell ref="B49:C49"/>
    <mergeCell ref="B50:C50"/>
    <mergeCell ref="B51:C51"/>
    <mergeCell ref="A32:K32"/>
    <mergeCell ref="A33:J33"/>
    <mergeCell ref="A34:J34"/>
    <mergeCell ref="A35:J35"/>
    <mergeCell ref="A37:K37"/>
    <mergeCell ref="A38:J38"/>
    <mergeCell ref="A22:L22"/>
    <mergeCell ref="B23:C23"/>
    <mergeCell ref="B24:C24"/>
    <mergeCell ref="L24:L30"/>
    <mergeCell ref="B25:C25"/>
    <mergeCell ref="B26:C26"/>
    <mergeCell ref="B27:C27"/>
    <mergeCell ref="B28:C28"/>
    <mergeCell ref="E16:F16"/>
    <mergeCell ref="G16:H16"/>
    <mergeCell ref="A17:B17"/>
    <mergeCell ref="C17:D17"/>
    <mergeCell ref="A18:B18"/>
    <mergeCell ref="C18:E18"/>
    <mergeCell ref="F18:G18"/>
    <mergeCell ref="H18:I18"/>
    <mergeCell ref="A13:B13"/>
    <mergeCell ref="A14:B14"/>
    <mergeCell ref="C14:D14"/>
    <mergeCell ref="A15:B15"/>
    <mergeCell ref="C15:D15"/>
    <mergeCell ref="A16:B16"/>
    <mergeCell ref="K2:L16"/>
    <mergeCell ref="A5:B5"/>
    <mergeCell ref="C5:I5"/>
    <mergeCell ref="A7:B7"/>
    <mergeCell ref="A8:B8"/>
    <mergeCell ref="A9:B9"/>
    <mergeCell ref="E9:I10"/>
    <mergeCell ref="A10:B10"/>
    <mergeCell ref="A11:B11"/>
    <mergeCell ref="A12:B12"/>
  </mergeCells>
  <dataValidations count="3">
    <dataValidation allowBlank="1" showInputMessage="1" showErrorMessage="1" sqref="F116:F120 J1 F24:F28 F47:F51 F70:F74 F93:F97 E9" xr:uid="{18B3CE52-0D43-4D24-971E-53FDDA188F37}"/>
    <dataValidation type="list" allowBlank="1" showInputMessage="1" showErrorMessage="1" sqref="C7" xr:uid="{A9112008-7830-4FEE-8E43-F0769CD359CC}">
      <formula1>"'   ,30%,60%,98%,100%"</formula1>
    </dataValidation>
    <dataValidation type="list" allowBlank="1" showInputMessage="1" showErrorMessage="1" sqref="E93:E97 E116:E120 E24:E28 E70:E74 E47:E51" xr:uid="{F64A03F7-AF77-4783-BBF1-9A1D4231AD67}">
      <formula1>"' ,above invert,below invert,ponding"</formula1>
    </dataValidation>
  </dataValidations>
  <pageMargins left="0.25" right="0.25" top="0.5" bottom="0.5" header="0.3" footer="0.3"/>
  <pageSetup scale="77" fitToHeight="0" orientation="landscape" verticalDpi="1200" r:id="rId1"/>
  <headerFooter>
    <oddFooter>&amp;LDate Printed: &amp;D&amp;CDesign DRC Page &amp;P of &amp;N</oddFooter>
  </headerFooter>
  <rowBreaks count="2" manualBreakCount="2">
    <brk id="43" max="11" man="1"/>
    <brk id="89" max="11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84153-ABF6-457F-98A0-06C29A6EA091}">
  <sheetPr>
    <tabColor theme="9" tint="0.59999389629810485"/>
    <pageSetUpPr fitToPage="1"/>
  </sheetPr>
  <dimension ref="A1:O134"/>
  <sheetViews>
    <sheetView zoomScaleNormal="100" zoomScaleSheetLayoutView="80" workbookViewId="0">
      <selection activeCell="C7" sqref="C7"/>
    </sheetView>
  </sheetViews>
  <sheetFormatPr defaultRowHeight="12.75" x14ac:dyDescent="0.2"/>
  <cols>
    <col min="1" max="1" width="8.140625" customWidth="1"/>
    <col min="2" max="2" width="18.7109375" customWidth="1"/>
    <col min="3" max="3" width="10.5703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6.85546875" customWidth="1"/>
    <col min="10" max="10" width="9.710937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8"/>
    </row>
    <row r="3" spans="1:15" ht="18" x14ac:dyDescent="0.25">
      <c r="A3" s="1" t="s">
        <v>6</v>
      </c>
      <c r="J3" s="22" t="s">
        <v>7</v>
      </c>
      <c r="K3" s="98"/>
      <c r="L3" s="98"/>
      <c r="N3" s="7" t="s">
        <v>8</v>
      </c>
    </row>
    <row r="4" spans="1:15" ht="15" customHeight="1" x14ac:dyDescent="0.25">
      <c r="A4" s="1"/>
      <c r="K4" s="98"/>
      <c r="L4" s="98"/>
      <c r="N4" s="70" t="s">
        <v>9</v>
      </c>
      <c r="O4" s="70" t="s">
        <v>10</v>
      </c>
    </row>
    <row r="5" spans="1:15" ht="15" customHeight="1" x14ac:dyDescent="0.25">
      <c r="A5" s="99" t="s">
        <v>11</v>
      </c>
      <c r="B5" s="99"/>
      <c r="C5" s="83"/>
      <c r="D5" s="83"/>
      <c r="E5" s="83"/>
      <c r="F5" s="83"/>
      <c r="G5" s="83"/>
      <c r="H5" s="83"/>
      <c r="I5" s="83"/>
      <c r="K5" s="98"/>
      <c r="L5" s="98"/>
      <c r="N5" s="8" t="s">
        <v>12</v>
      </c>
      <c r="O5" s="8">
        <v>0.41</v>
      </c>
    </row>
    <row r="6" spans="1:15" ht="15" customHeight="1" x14ac:dyDescent="0.25">
      <c r="A6" s="69" t="s">
        <v>13</v>
      </c>
      <c r="B6" s="69"/>
      <c r="C6" s="64"/>
      <c r="D6" s="69"/>
      <c r="E6" s="69"/>
      <c r="F6" s="69"/>
      <c r="G6" s="69"/>
      <c r="H6" s="69"/>
      <c r="I6" s="69"/>
      <c r="K6" s="98"/>
      <c r="L6" s="98"/>
      <c r="N6" s="8" t="s">
        <v>14</v>
      </c>
      <c r="O6" s="8">
        <v>0.38</v>
      </c>
    </row>
    <row r="7" spans="1:15" ht="15" customHeight="1" thickBot="1" x14ac:dyDescent="0.3">
      <c r="A7" s="94" t="s">
        <v>15</v>
      </c>
      <c r="B7" s="94"/>
      <c r="C7" s="205">
        <v>0.98</v>
      </c>
      <c r="D7" s="69"/>
      <c r="E7" s="48"/>
      <c r="F7" s="26"/>
      <c r="K7" s="98"/>
      <c r="L7" s="98"/>
      <c r="N7" s="8" t="s">
        <v>17</v>
      </c>
      <c r="O7" s="8">
        <v>0.28000000000000003</v>
      </c>
    </row>
    <row r="8" spans="1:15" ht="15" customHeight="1" x14ac:dyDescent="0.25">
      <c r="A8" s="94" t="s">
        <v>18</v>
      </c>
      <c r="B8" s="94"/>
      <c r="C8" s="27">
        <f>SUMIF(J24:J504,"Subtotal Constructed Volume (gallons)",K24:K504)</f>
        <v>0</v>
      </c>
      <c r="D8" s="28" t="s">
        <v>19</v>
      </c>
      <c r="E8" s="49" t="s">
        <v>20</v>
      </c>
      <c r="F8" s="50"/>
      <c r="G8" s="50"/>
      <c r="H8" s="50"/>
      <c r="I8" s="51"/>
      <c r="K8" s="98"/>
      <c r="L8" s="98"/>
      <c r="N8" s="8" t="s">
        <v>21</v>
      </c>
      <c r="O8" s="8">
        <v>0.28000000000000003</v>
      </c>
    </row>
    <row r="9" spans="1:15" ht="15" customHeight="1" x14ac:dyDescent="0.25">
      <c r="A9" s="94" t="s">
        <v>22</v>
      </c>
      <c r="B9" s="94"/>
      <c r="C9" s="27">
        <f>SUMIF(J24:J504,"Infiltration Volume (gallons)",K24:K504)</f>
        <v>0</v>
      </c>
      <c r="D9" s="28" t="s">
        <v>19</v>
      </c>
      <c r="E9" s="100" t="str">
        <f>IF(ISNUMBER('CN &amp; Runoff Volume'!AU22),IF(C10=0,"To be determined",IF(C10&lt;'CN &amp; Runoff Volume'!AU22,"WARNING! DRC does not meet the 10-yr runoff volume",IF(C10&gt;'CN &amp; Runoff Volume'!AU26,"DRC exceeds the 100-yr runoff volume - DRC will be capped to calculate MWRD Contribution","DRC is between the 10- to 100-yr runoff volume"))),"Please fill in CN &amp; Runoff Volume tab")</f>
        <v>Please fill in CN &amp; Runoff Volume tab</v>
      </c>
      <c r="F9" s="101"/>
      <c r="G9" s="101"/>
      <c r="H9" s="101"/>
      <c r="I9" s="102"/>
      <c r="K9" s="98"/>
      <c r="L9" s="98"/>
      <c r="N9" s="8" t="s">
        <v>23</v>
      </c>
      <c r="O9" s="8">
        <v>0.25</v>
      </c>
    </row>
    <row r="10" spans="1:15" ht="15" customHeight="1" thickBot="1" x14ac:dyDescent="0.3">
      <c r="A10" s="107" t="s">
        <v>24</v>
      </c>
      <c r="B10" s="108"/>
      <c r="C10" s="29">
        <f>SUM(C8:C9)</f>
        <v>0</v>
      </c>
      <c r="D10" s="30" t="s">
        <v>19</v>
      </c>
      <c r="E10" s="103"/>
      <c r="F10" s="104"/>
      <c r="G10" s="104"/>
      <c r="H10" s="104"/>
      <c r="I10" s="105"/>
      <c r="K10" s="98"/>
      <c r="L10" s="98"/>
    </row>
    <row r="11" spans="1:15" ht="15" customHeight="1" x14ac:dyDescent="0.25">
      <c r="A11" s="107" t="s">
        <v>25</v>
      </c>
      <c r="B11" s="108"/>
      <c r="C11" s="29">
        <f>IF(C10&gt;'CN &amp; Runoff Volume'!AU26,'CN &amp; Runoff Volume'!AU26,C10)</f>
        <v>0</v>
      </c>
      <c r="D11" s="53" t="s">
        <v>19</v>
      </c>
      <c r="H11" s="48"/>
      <c r="I11" s="48"/>
      <c r="J11" s="48"/>
      <c r="K11" s="98"/>
      <c r="L11" s="98"/>
      <c r="N11" s="8"/>
      <c r="O11" s="8"/>
    </row>
    <row r="12" spans="1:15" ht="15" customHeight="1" x14ac:dyDescent="0.2">
      <c r="A12" s="94" t="s">
        <v>26</v>
      </c>
      <c r="B12" s="94"/>
      <c r="C12" s="27">
        <f>C11-C8</f>
        <v>0</v>
      </c>
      <c r="J12" s="48"/>
      <c r="K12" s="98"/>
      <c r="L12" s="98"/>
    </row>
    <row r="13" spans="1:15" ht="14.25" x14ac:dyDescent="0.2">
      <c r="A13" s="95" t="s">
        <v>27</v>
      </c>
      <c r="B13" s="95"/>
      <c r="C13" s="60"/>
      <c r="D13" s="54" t="s">
        <v>28</v>
      </c>
      <c r="F13" s="60"/>
      <c r="G13" s="54" t="s">
        <v>29</v>
      </c>
      <c r="I13" s="48"/>
      <c r="J13" s="48"/>
      <c r="K13" s="98"/>
      <c r="L13" s="98"/>
    </row>
    <row r="14" spans="1:15" ht="14.25" x14ac:dyDescent="0.2">
      <c r="A14" s="96" t="s">
        <v>30</v>
      </c>
      <c r="B14" s="96"/>
      <c r="C14" s="106">
        <f>C8*C13+C12*F13</f>
        <v>0</v>
      </c>
      <c r="D14" s="106"/>
      <c r="E14" s="26"/>
      <c r="F14" s="59"/>
      <c r="G14" s="59"/>
      <c r="H14" s="59"/>
      <c r="I14" s="59"/>
      <c r="K14" s="98"/>
      <c r="L14" s="98"/>
    </row>
    <row r="15" spans="1:15" ht="14.25" x14ac:dyDescent="0.2">
      <c r="A15" s="86" t="s">
        <v>31</v>
      </c>
      <c r="B15" s="86"/>
      <c r="C15" s="92">
        <v>0</v>
      </c>
      <c r="D15" s="92"/>
      <c r="E15" s="5" t="s">
        <v>141</v>
      </c>
      <c r="F15" s="59"/>
      <c r="G15" s="59"/>
      <c r="H15" s="59"/>
      <c r="I15" s="59"/>
      <c r="K15" s="98"/>
      <c r="L15" s="98"/>
    </row>
    <row r="16" spans="1:15" ht="14.25" x14ac:dyDescent="0.2">
      <c r="A16" s="87" t="s">
        <v>32</v>
      </c>
      <c r="B16" s="87"/>
      <c r="C16" s="61"/>
      <c r="D16" t="s">
        <v>33</v>
      </c>
      <c r="E16" s="90" t="s">
        <v>34</v>
      </c>
      <c r="F16" s="90"/>
      <c r="G16" s="91" t="s">
        <v>35</v>
      </c>
      <c r="H16" s="91"/>
      <c r="K16" s="98"/>
      <c r="L16" s="98"/>
    </row>
    <row r="17" spans="1:14" ht="30" customHeight="1" x14ac:dyDescent="0.25">
      <c r="A17" s="88" t="s">
        <v>36</v>
      </c>
      <c r="B17" s="88"/>
      <c r="C17" s="84">
        <f>MIN(C14,C15*C16,G16)</f>
        <v>0</v>
      </c>
      <c r="D17" s="85"/>
      <c r="K17" s="68"/>
      <c r="L17" s="68"/>
    </row>
    <row r="18" spans="1:14" ht="29.25" customHeight="1" x14ac:dyDescent="0.2">
      <c r="A18" s="89" t="s">
        <v>37</v>
      </c>
      <c r="B18" s="89"/>
      <c r="C18" s="93"/>
      <c r="D18" s="93"/>
      <c r="E18" s="93"/>
      <c r="F18" s="89" t="s">
        <v>38</v>
      </c>
      <c r="G18" s="89"/>
      <c r="H18" s="78"/>
      <c r="I18" s="78"/>
      <c r="K18" s="68"/>
      <c r="L18" s="68"/>
    </row>
    <row r="19" spans="1:14" ht="13.5" customHeight="1" x14ac:dyDescent="0.2">
      <c r="K19" s="68"/>
      <c r="L19" s="68"/>
    </row>
    <row r="20" spans="1:14" x14ac:dyDescent="0.2">
      <c r="K20" s="68"/>
      <c r="L20" s="68"/>
    </row>
    <row r="21" spans="1:14" ht="15" x14ac:dyDescent="0.25">
      <c r="A21" s="31" t="s">
        <v>39</v>
      </c>
      <c r="N21" s="14" t="s">
        <v>40</v>
      </c>
    </row>
    <row r="22" spans="1:14" x14ac:dyDescent="0.2">
      <c r="A22" s="77" t="s">
        <v>41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</row>
    <row r="23" spans="1:14" s="4" customFormat="1" ht="25.5" x14ac:dyDescent="0.2">
      <c r="A23" s="18" t="s">
        <v>42</v>
      </c>
      <c r="B23" s="82" t="s">
        <v>43</v>
      </c>
      <c r="C23" s="82"/>
      <c r="D23" s="9" t="s">
        <v>10</v>
      </c>
      <c r="E23" s="9" t="s">
        <v>44</v>
      </c>
      <c r="F23" s="9" t="s">
        <v>45</v>
      </c>
      <c r="G23" s="9" t="s">
        <v>46</v>
      </c>
      <c r="H23" s="9" t="s">
        <v>47</v>
      </c>
      <c r="I23" s="9" t="s">
        <v>48</v>
      </c>
      <c r="J23" s="9" t="s">
        <v>49</v>
      </c>
      <c r="K23" s="9" t="s">
        <v>50</v>
      </c>
      <c r="L23" s="9" t="s">
        <v>51</v>
      </c>
    </row>
    <row r="24" spans="1:14" x14ac:dyDescent="0.2">
      <c r="A24" s="3">
        <v>1</v>
      </c>
      <c r="B24" s="80"/>
      <c r="C24" s="80"/>
      <c r="D24" s="10"/>
      <c r="E24" s="15" t="s">
        <v>52</v>
      </c>
      <c r="F24" s="24" cm="1">
        <f t="array" ref="F24">_xlfn.IFS(E24="above invert",0.5,E24="below invert",1,E24="ponding",1,E24=" ",0)</f>
        <v>0</v>
      </c>
      <c r="G24" s="11"/>
      <c r="H24" s="10"/>
      <c r="I24" s="10"/>
      <c r="J24" s="12">
        <f>H24*I24</f>
        <v>0</v>
      </c>
      <c r="K24" s="13">
        <f>D24*G24*J24*F24</f>
        <v>0</v>
      </c>
      <c r="L24" s="79"/>
    </row>
    <row r="25" spans="1:14" x14ac:dyDescent="0.2">
      <c r="A25" s="3">
        <v>2</v>
      </c>
      <c r="B25" s="80"/>
      <c r="C25" s="80"/>
      <c r="D25" s="10"/>
      <c r="E25" s="15" t="s">
        <v>52</v>
      </c>
      <c r="F25" s="24" cm="1">
        <f t="array" ref="F25">_xlfn.IFS(E25="above invert",0.5,E25="below invert",1,E25="ponding",1,E25=" ",0)</f>
        <v>0</v>
      </c>
      <c r="G25" s="11"/>
      <c r="H25" s="10"/>
      <c r="I25" s="10"/>
      <c r="J25" s="12">
        <f t="shared" ref="J25:J28" si="0">H25*I25</f>
        <v>0</v>
      </c>
      <c r="K25" s="13">
        <f>D25*G25*J25*F25</f>
        <v>0</v>
      </c>
      <c r="L25" s="79"/>
    </row>
    <row r="26" spans="1:14" x14ac:dyDescent="0.2">
      <c r="A26" s="3">
        <v>3</v>
      </c>
      <c r="B26" s="80"/>
      <c r="C26" s="80"/>
      <c r="D26" s="10"/>
      <c r="E26" s="15" t="s">
        <v>52</v>
      </c>
      <c r="F26" s="24" cm="1">
        <f t="array" ref="F26">_xlfn.IFS(E26="above invert",0.5,E26="below invert",1,E26="ponding",1,E26=" ",0)</f>
        <v>0</v>
      </c>
      <c r="G26" s="11"/>
      <c r="H26" s="10"/>
      <c r="I26" s="10"/>
      <c r="J26" s="12">
        <f t="shared" si="0"/>
        <v>0</v>
      </c>
      <c r="K26" s="13">
        <f>D26*G26*J26*F26</f>
        <v>0</v>
      </c>
      <c r="L26" s="79"/>
    </row>
    <row r="27" spans="1:14" x14ac:dyDescent="0.2">
      <c r="A27" s="3">
        <v>4</v>
      </c>
      <c r="B27" s="80"/>
      <c r="C27" s="80"/>
      <c r="D27" s="10"/>
      <c r="E27" s="15" t="s">
        <v>52</v>
      </c>
      <c r="F27" s="24" cm="1">
        <f t="array" ref="F27">_xlfn.IFS(E27="above invert",0.5,E27="below invert",1,E27="ponding",1,E27=" ",0)</f>
        <v>0</v>
      </c>
      <c r="G27" s="11"/>
      <c r="H27" s="10"/>
      <c r="I27" s="10"/>
      <c r="J27" s="12">
        <f t="shared" si="0"/>
        <v>0</v>
      </c>
      <c r="K27" s="13">
        <f>D27*G27*J27*F27</f>
        <v>0</v>
      </c>
      <c r="L27" s="79"/>
    </row>
    <row r="28" spans="1:14" x14ac:dyDescent="0.2">
      <c r="A28" s="3">
        <v>5</v>
      </c>
      <c r="B28" s="80"/>
      <c r="C28" s="80"/>
      <c r="D28" s="10"/>
      <c r="E28" s="15" t="s">
        <v>52</v>
      </c>
      <c r="F28" s="24" cm="1">
        <f t="array" ref="F28">_xlfn.IFS(E28="above invert",0.5,E28="below invert",1,E28="ponding",1,E28=" ",0)</f>
        <v>0</v>
      </c>
      <c r="G28" s="10"/>
      <c r="H28" s="10"/>
      <c r="I28" s="10"/>
      <c r="J28" s="12">
        <f t="shared" si="0"/>
        <v>0</v>
      </c>
      <c r="K28" s="13">
        <f>D28*G28*J28*F28</f>
        <v>0</v>
      </c>
      <c r="L28" s="79"/>
    </row>
    <row r="29" spans="1:14" x14ac:dyDescent="0.2">
      <c r="J29" s="62" t="s">
        <v>53</v>
      </c>
      <c r="K29" s="13">
        <f>SUM(K24:K28)</f>
        <v>0</v>
      </c>
      <c r="L29" s="79"/>
    </row>
    <row r="30" spans="1:14" x14ac:dyDescent="0.2">
      <c r="C30" s="14"/>
      <c r="D30" s="14"/>
      <c r="E30" s="14"/>
      <c r="F30" s="14"/>
      <c r="G30" s="14"/>
      <c r="H30" s="14"/>
      <c r="I30" s="14"/>
      <c r="J30" s="17" t="s">
        <v>54</v>
      </c>
      <c r="K30" s="16">
        <f>K29*7.48</f>
        <v>0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K31" s="17"/>
      <c r="L31" s="17"/>
    </row>
    <row r="32" spans="1:14" x14ac:dyDescent="0.2">
      <c r="A32" s="77" t="s">
        <v>55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9" t="s">
        <v>51</v>
      </c>
    </row>
    <row r="33" spans="1:14" x14ac:dyDescent="0.2">
      <c r="A33" s="76" t="s">
        <v>56</v>
      </c>
      <c r="B33" s="76"/>
      <c r="C33" s="76"/>
      <c r="D33" s="76"/>
      <c r="E33" s="76"/>
      <c r="F33" s="76"/>
      <c r="G33" s="76"/>
      <c r="H33" s="76"/>
      <c r="I33" s="76"/>
      <c r="J33" s="76"/>
      <c r="K33" s="32"/>
      <c r="L33" s="20"/>
    </row>
    <row r="34" spans="1:14" x14ac:dyDescent="0.2">
      <c r="A34" s="81" t="s">
        <v>57</v>
      </c>
      <c r="B34" s="81"/>
      <c r="C34" s="81"/>
      <c r="D34" s="81"/>
      <c r="E34" s="81"/>
      <c r="F34" s="81"/>
      <c r="G34" s="81"/>
      <c r="H34" s="81"/>
      <c r="I34" s="81"/>
      <c r="J34" s="81"/>
      <c r="K34" s="32"/>
      <c r="L34" s="20"/>
    </row>
    <row r="35" spans="1:14" ht="25.5" customHeight="1" x14ac:dyDescent="0.2">
      <c r="A35" s="76" t="s">
        <v>58</v>
      </c>
      <c r="B35" s="76"/>
      <c r="C35" s="76"/>
      <c r="D35" s="76"/>
      <c r="E35" s="76"/>
      <c r="F35" s="76"/>
      <c r="G35" s="76"/>
      <c r="H35" s="76"/>
      <c r="I35" s="76"/>
      <c r="J35" s="76"/>
      <c r="K35" s="33">
        <f>K33-K34</f>
        <v>0</v>
      </c>
      <c r="L35" s="20"/>
    </row>
    <row r="36" spans="1:14" x14ac:dyDescent="0.2">
      <c r="C36" s="14"/>
      <c r="D36" s="14"/>
      <c r="E36" s="14"/>
      <c r="F36" s="14"/>
      <c r="G36" s="14"/>
      <c r="H36" s="14"/>
      <c r="I36" s="14"/>
      <c r="K36" s="17"/>
      <c r="L36" s="17"/>
    </row>
    <row r="37" spans="1:14" x14ac:dyDescent="0.2">
      <c r="A37" s="77" t="s">
        <v>59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9" t="s">
        <v>51</v>
      </c>
    </row>
    <row r="38" spans="1:14" ht="25.5" customHeight="1" x14ac:dyDescent="0.2">
      <c r="A38" s="76" t="s">
        <v>60</v>
      </c>
      <c r="B38" s="76"/>
      <c r="C38" s="76"/>
      <c r="D38" s="76"/>
      <c r="E38" s="76"/>
      <c r="F38" s="76"/>
      <c r="G38" s="76"/>
      <c r="H38" s="76"/>
      <c r="I38" s="76"/>
      <c r="J38" s="76"/>
      <c r="K38" s="32"/>
      <c r="L38" s="20"/>
    </row>
    <row r="39" spans="1:14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2" t="s">
        <v>61</v>
      </c>
      <c r="K39" s="34">
        <f>IF(K38&gt;3.6,3.6,K38)</f>
        <v>0</v>
      </c>
      <c r="L39" s="20"/>
    </row>
    <row r="40" spans="1:14" x14ac:dyDescent="0.2">
      <c r="A40" s="81" t="s">
        <v>62</v>
      </c>
      <c r="B40" s="81"/>
      <c r="C40" s="81"/>
      <c r="D40" s="81"/>
      <c r="E40" s="81"/>
      <c r="F40" s="81"/>
      <c r="G40" s="81"/>
      <c r="H40" s="81"/>
      <c r="I40" s="81"/>
      <c r="J40" s="81" t="s">
        <v>62</v>
      </c>
      <c r="K40" s="32"/>
      <c r="L40" s="20"/>
    </row>
    <row r="41" spans="1:14" x14ac:dyDescent="0.2">
      <c r="A41" s="81" t="s">
        <v>63</v>
      </c>
      <c r="B41" s="81"/>
      <c r="C41" s="81"/>
      <c r="D41" s="81"/>
      <c r="E41" s="81"/>
      <c r="F41" s="81"/>
      <c r="G41" s="81"/>
      <c r="H41" s="81"/>
      <c r="I41" s="81"/>
      <c r="J41" s="81"/>
      <c r="K41" s="34">
        <f>K39*K40*6/12</f>
        <v>0</v>
      </c>
      <c r="L41" s="20"/>
    </row>
    <row r="42" spans="1:14" ht="13.5" customHeight="1" x14ac:dyDescent="0.2">
      <c r="A42" s="63"/>
      <c r="B42" s="62"/>
      <c r="C42" s="62"/>
      <c r="D42" s="62"/>
      <c r="E42" s="62"/>
      <c r="F42" s="62"/>
      <c r="G42" s="62"/>
      <c r="H42" s="62"/>
      <c r="I42" s="62"/>
      <c r="J42" s="17" t="s">
        <v>64</v>
      </c>
      <c r="K42" s="35">
        <f>K41*7.48</f>
        <v>0</v>
      </c>
      <c r="L42" s="20"/>
    </row>
    <row r="44" spans="1:14" ht="15.75" x14ac:dyDescent="0.25">
      <c r="A44" s="31" t="s">
        <v>65</v>
      </c>
      <c r="C44" s="2"/>
      <c r="N44" s="14" t="s">
        <v>40</v>
      </c>
    </row>
    <row r="45" spans="1:14" x14ac:dyDescent="0.2">
      <c r="A45" s="77" t="s">
        <v>41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</row>
    <row r="46" spans="1:14" s="4" customFormat="1" ht="25.5" x14ac:dyDescent="0.2">
      <c r="A46" s="18" t="s">
        <v>42</v>
      </c>
      <c r="B46" s="82" t="s">
        <v>43</v>
      </c>
      <c r="C46" s="82"/>
      <c r="D46" s="9" t="s">
        <v>10</v>
      </c>
      <c r="E46" s="9" t="s">
        <v>44</v>
      </c>
      <c r="F46" s="9" t="s">
        <v>45</v>
      </c>
      <c r="G46" s="9" t="s">
        <v>46</v>
      </c>
      <c r="H46" s="9" t="s">
        <v>47</v>
      </c>
      <c r="I46" s="9" t="s">
        <v>48</v>
      </c>
      <c r="J46" s="9" t="s">
        <v>49</v>
      </c>
      <c r="K46" s="9" t="s">
        <v>50</v>
      </c>
      <c r="L46" s="9" t="s">
        <v>51</v>
      </c>
    </row>
    <row r="47" spans="1:14" ht="12.75" customHeight="1" x14ac:dyDescent="0.2">
      <c r="A47" s="3">
        <v>1</v>
      </c>
      <c r="B47" s="80"/>
      <c r="C47" s="80"/>
      <c r="D47" s="10"/>
      <c r="E47" s="15" t="s">
        <v>52</v>
      </c>
      <c r="F47" s="24" cm="1">
        <f t="array" ref="F47">_xlfn.IFS(E47="above invert",0.5,E47="below invert",1,E47="ponding",1,E47=" ",0)</f>
        <v>0</v>
      </c>
      <c r="G47" s="11"/>
      <c r="H47" s="10"/>
      <c r="I47" s="10"/>
      <c r="J47" s="12">
        <f>H47*I47</f>
        <v>0</v>
      </c>
      <c r="K47" s="13">
        <f>D47*G47*J47*F47</f>
        <v>0</v>
      </c>
      <c r="L47" s="79"/>
    </row>
    <row r="48" spans="1:14" x14ac:dyDescent="0.2">
      <c r="A48" s="3">
        <v>2</v>
      </c>
      <c r="B48" s="80"/>
      <c r="C48" s="80"/>
      <c r="D48" s="10"/>
      <c r="E48" s="15" t="s">
        <v>52</v>
      </c>
      <c r="F48" s="24" cm="1">
        <f t="array" ref="F48">_xlfn.IFS(E48="above invert",0.5,E48="below invert",1,E48="ponding",1,E48=" ",0)</f>
        <v>0</v>
      </c>
      <c r="G48" s="11"/>
      <c r="H48" s="10"/>
      <c r="I48" s="10"/>
      <c r="J48" s="12">
        <f t="shared" ref="J48:J51" si="1">H48*I48</f>
        <v>0</v>
      </c>
      <c r="K48" s="13">
        <f>D48*G48*J48*F48</f>
        <v>0</v>
      </c>
      <c r="L48" s="79"/>
    </row>
    <row r="49" spans="1:12" x14ac:dyDescent="0.2">
      <c r="A49" s="3">
        <v>3</v>
      </c>
      <c r="B49" s="80"/>
      <c r="C49" s="80"/>
      <c r="D49" s="10"/>
      <c r="E49" s="15" t="s">
        <v>52</v>
      </c>
      <c r="F49" s="24" cm="1">
        <f t="array" ref="F49">_xlfn.IFS(E49="above invert",0.5,E49="below invert",1,E49="ponding",1,E49=" ",0)</f>
        <v>0</v>
      </c>
      <c r="G49" s="11"/>
      <c r="H49" s="10"/>
      <c r="I49" s="10"/>
      <c r="J49" s="12">
        <f t="shared" si="1"/>
        <v>0</v>
      </c>
      <c r="K49" s="13">
        <f>D49*G49*J49*F49</f>
        <v>0</v>
      </c>
      <c r="L49" s="79"/>
    </row>
    <row r="50" spans="1:12" x14ac:dyDescent="0.2">
      <c r="A50" s="3">
        <v>4</v>
      </c>
      <c r="B50" s="80"/>
      <c r="C50" s="80"/>
      <c r="D50" s="10"/>
      <c r="E50" s="15" t="s">
        <v>52</v>
      </c>
      <c r="F50" s="24" cm="1">
        <f t="array" ref="F50">_xlfn.IFS(E50="above invert",0.5,E50="below invert",1,E50="ponding",1,E50=" ",0)</f>
        <v>0</v>
      </c>
      <c r="G50" s="11"/>
      <c r="H50" s="10"/>
      <c r="I50" s="10"/>
      <c r="J50" s="12">
        <f t="shared" si="1"/>
        <v>0</v>
      </c>
      <c r="K50" s="13">
        <f>D50*G50*J50*F50</f>
        <v>0</v>
      </c>
      <c r="L50" s="79"/>
    </row>
    <row r="51" spans="1:12" x14ac:dyDescent="0.2">
      <c r="A51" s="3">
        <v>5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0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J52" s="62" t="s">
        <v>53</v>
      </c>
      <c r="K52" s="13">
        <f>SUM(K47:K51)</f>
        <v>0</v>
      </c>
      <c r="L52" s="79"/>
    </row>
    <row r="53" spans="1:12" x14ac:dyDescent="0.2">
      <c r="C53" s="14"/>
      <c r="D53" s="14"/>
      <c r="E53" s="14"/>
      <c r="F53" s="14"/>
      <c r="G53" s="14"/>
      <c r="H53" s="14"/>
      <c r="I53" s="14"/>
      <c r="J53" s="17" t="s">
        <v>54</v>
      </c>
      <c r="K53" s="16">
        <f>K52*7.48</f>
        <v>0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K54" s="17"/>
      <c r="L54" s="17"/>
    </row>
    <row r="55" spans="1:12" x14ac:dyDescent="0.2">
      <c r="A55" s="77" t="s">
        <v>55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9" t="s">
        <v>51</v>
      </c>
    </row>
    <row r="56" spans="1:12" x14ac:dyDescent="0.2">
      <c r="A56" s="76" t="s">
        <v>56</v>
      </c>
      <c r="B56" s="76"/>
      <c r="C56" s="76"/>
      <c r="D56" s="76"/>
      <c r="E56" s="76"/>
      <c r="F56" s="76"/>
      <c r="G56" s="76"/>
      <c r="H56" s="76"/>
      <c r="I56" s="76"/>
      <c r="J56" s="76"/>
      <c r="K56" s="36"/>
      <c r="L56" s="20"/>
    </row>
    <row r="57" spans="1:12" x14ac:dyDescent="0.2">
      <c r="A57" s="81" t="s">
        <v>57</v>
      </c>
      <c r="B57" s="81"/>
      <c r="C57" s="81"/>
      <c r="D57" s="81"/>
      <c r="E57" s="81"/>
      <c r="F57" s="81"/>
      <c r="G57" s="81"/>
      <c r="H57" s="81"/>
      <c r="I57" s="81"/>
      <c r="J57" s="81"/>
      <c r="K57" s="36"/>
      <c r="L57" s="20"/>
    </row>
    <row r="58" spans="1:12" ht="25.5" customHeight="1" x14ac:dyDescent="0.2">
      <c r="A58" s="76" t="s">
        <v>58</v>
      </c>
      <c r="B58" s="76"/>
      <c r="C58" s="76"/>
      <c r="D58" s="76"/>
      <c r="E58" s="76"/>
      <c r="F58" s="76"/>
      <c r="G58" s="76"/>
      <c r="H58" s="76"/>
      <c r="I58" s="76"/>
      <c r="J58" s="76"/>
      <c r="K58" s="33">
        <f>K56-K57</f>
        <v>0</v>
      </c>
      <c r="L58" s="20"/>
    </row>
    <row r="59" spans="1:12" x14ac:dyDescent="0.2">
      <c r="C59" s="14"/>
      <c r="D59" s="14"/>
      <c r="E59" s="14"/>
      <c r="F59" s="14"/>
      <c r="G59" s="14"/>
      <c r="H59" s="14"/>
      <c r="I59" s="14"/>
      <c r="K59" s="17"/>
      <c r="L59" s="17"/>
    </row>
    <row r="60" spans="1:12" x14ac:dyDescent="0.2">
      <c r="A60" s="77" t="s">
        <v>59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9" t="s">
        <v>51</v>
      </c>
    </row>
    <row r="61" spans="1:12" ht="25.5" customHeight="1" x14ac:dyDescent="0.2">
      <c r="A61" s="76" t="s">
        <v>60</v>
      </c>
      <c r="B61" s="76"/>
      <c r="C61" s="76"/>
      <c r="D61" s="76"/>
      <c r="E61" s="76"/>
      <c r="F61" s="76"/>
      <c r="G61" s="76"/>
      <c r="H61" s="76"/>
      <c r="I61" s="76"/>
      <c r="J61" s="76"/>
      <c r="K61" s="32"/>
      <c r="L61" s="20"/>
    </row>
    <row r="62" spans="1:12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2" t="s">
        <v>61</v>
      </c>
      <c r="K62" s="34">
        <f>IF(K61&gt;3.6,3.6,K61)</f>
        <v>0</v>
      </c>
      <c r="L62" s="20"/>
    </row>
    <row r="63" spans="1:12" x14ac:dyDescent="0.2">
      <c r="A63" s="81" t="s">
        <v>62</v>
      </c>
      <c r="B63" s="81"/>
      <c r="C63" s="81"/>
      <c r="D63" s="81"/>
      <c r="E63" s="81"/>
      <c r="F63" s="81"/>
      <c r="G63" s="81"/>
      <c r="H63" s="81"/>
      <c r="I63" s="81"/>
      <c r="J63" s="81" t="s">
        <v>62</v>
      </c>
      <c r="K63" s="36"/>
      <c r="L63" s="20"/>
    </row>
    <row r="64" spans="1:12" x14ac:dyDescent="0.2">
      <c r="A64" s="81" t="s">
        <v>63</v>
      </c>
      <c r="B64" s="81"/>
      <c r="C64" s="81"/>
      <c r="D64" s="81"/>
      <c r="E64" s="81"/>
      <c r="F64" s="81"/>
      <c r="G64" s="81"/>
      <c r="H64" s="81"/>
      <c r="I64" s="81"/>
      <c r="J64" s="81"/>
      <c r="K64" s="34">
        <f>K62*K63*6/12</f>
        <v>0</v>
      </c>
      <c r="L64" s="20"/>
    </row>
    <row r="65" spans="1:14" ht="13.5" customHeight="1" x14ac:dyDescent="0.2">
      <c r="A65" s="63"/>
      <c r="B65" s="62"/>
      <c r="C65" s="62"/>
      <c r="D65" s="62"/>
      <c r="E65" s="62"/>
      <c r="F65" s="62"/>
      <c r="G65" s="62"/>
      <c r="H65" s="62"/>
      <c r="I65" s="62"/>
      <c r="J65" s="17" t="s">
        <v>64</v>
      </c>
      <c r="K65" s="35">
        <f>K64*7.48</f>
        <v>0</v>
      </c>
      <c r="L65" s="20"/>
    </row>
    <row r="67" spans="1:14" ht="15.75" x14ac:dyDescent="0.25">
      <c r="A67" s="31" t="s">
        <v>66</v>
      </c>
      <c r="C67" s="2"/>
      <c r="N67" s="14" t="s">
        <v>40</v>
      </c>
    </row>
    <row r="68" spans="1:14" x14ac:dyDescent="0.2">
      <c r="A68" s="77" t="s">
        <v>41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</row>
    <row r="69" spans="1:14" s="4" customFormat="1" ht="25.5" x14ac:dyDescent="0.2">
      <c r="A69" s="18" t="s">
        <v>42</v>
      </c>
      <c r="B69" s="82" t="s">
        <v>43</v>
      </c>
      <c r="C69" s="82"/>
      <c r="D69" s="9" t="s">
        <v>10</v>
      </c>
      <c r="E69" s="9" t="s">
        <v>44</v>
      </c>
      <c r="F69" s="9" t="s">
        <v>45</v>
      </c>
      <c r="G69" s="9" t="s">
        <v>46</v>
      </c>
      <c r="H69" s="9" t="s">
        <v>47</v>
      </c>
      <c r="I69" s="9" t="s">
        <v>48</v>
      </c>
      <c r="J69" s="9" t="s">
        <v>49</v>
      </c>
      <c r="K69" s="9" t="s">
        <v>50</v>
      </c>
      <c r="L69" s="9" t="s">
        <v>51</v>
      </c>
    </row>
    <row r="70" spans="1:14" ht="12.75" customHeight="1" x14ac:dyDescent="0.2">
      <c r="A70" s="3">
        <v>1</v>
      </c>
      <c r="B70" s="80"/>
      <c r="C70" s="80"/>
      <c r="D70" s="10"/>
      <c r="E70" s="15" t="s">
        <v>52</v>
      </c>
      <c r="F70" s="24" cm="1">
        <f t="array" ref="F70">_xlfn.IFS(E70="above invert",0.5,E70="below invert",1,E70="ponding",1,E70=" ",0)</f>
        <v>0</v>
      </c>
      <c r="G70" s="11"/>
      <c r="H70" s="10"/>
      <c r="I70" s="10"/>
      <c r="J70" s="12">
        <f>H70*I70</f>
        <v>0</v>
      </c>
      <c r="K70" s="13">
        <f>D70*G70*J70*F70</f>
        <v>0</v>
      </c>
      <c r="L70" s="79"/>
    </row>
    <row r="71" spans="1:14" x14ac:dyDescent="0.2">
      <c r="A71" s="3">
        <v>2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 t="shared" ref="J71:J74" si="2">H71*I71</f>
        <v>0</v>
      </c>
      <c r="K71" s="13">
        <f>D71*G71*J71*F71</f>
        <v>0</v>
      </c>
      <c r="L71" s="79"/>
    </row>
    <row r="72" spans="1:14" x14ac:dyDescent="0.2">
      <c r="A72" s="3">
        <v>3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si="2"/>
        <v>0</v>
      </c>
      <c r="K72" s="13">
        <f>D72*G72*J72*F72</f>
        <v>0</v>
      </c>
      <c r="L72" s="79"/>
    </row>
    <row r="73" spans="1:14" x14ac:dyDescent="0.2">
      <c r="A73" s="3">
        <v>4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5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0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J75" s="62" t="s">
        <v>53</v>
      </c>
      <c r="K75" s="13">
        <f>SUM(K70:K74)</f>
        <v>0</v>
      </c>
      <c r="L75" s="79"/>
    </row>
    <row r="76" spans="1:14" x14ac:dyDescent="0.2">
      <c r="C76" s="14"/>
      <c r="D76" s="14"/>
      <c r="E76" s="14"/>
      <c r="F76" s="14"/>
      <c r="G76" s="14"/>
      <c r="H76" s="14"/>
      <c r="I76" s="14"/>
      <c r="J76" s="17" t="s">
        <v>54</v>
      </c>
      <c r="K76" s="16">
        <f>K75*7.48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K77" s="17"/>
      <c r="L77" s="17"/>
    </row>
    <row r="78" spans="1:14" x14ac:dyDescent="0.2">
      <c r="A78" s="77" t="s">
        <v>55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9" t="s">
        <v>51</v>
      </c>
    </row>
    <row r="79" spans="1:14" x14ac:dyDescent="0.2">
      <c r="A79" s="76" t="s">
        <v>56</v>
      </c>
      <c r="B79" s="76"/>
      <c r="C79" s="76"/>
      <c r="D79" s="76"/>
      <c r="E79" s="76"/>
      <c r="F79" s="76"/>
      <c r="G79" s="76"/>
      <c r="H79" s="76"/>
      <c r="I79" s="76"/>
      <c r="J79" s="76"/>
      <c r="K79" s="32"/>
      <c r="L79" s="20"/>
    </row>
    <row r="80" spans="1:14" x14ac:dyDescent="0.2">
      <c r="A80" s="81" t="s">
        <v>57</v>
      </c>
      <c r="B80" s="81"/>
      <c r="C80" s="81"/>
      <c r="D80" s="81"/>
      <c r="E80" s="81"/>
      <c r="F80" s="81"/>
      <c r="G80" s="81"/>
      <c r="H80" s="81"/>
      <c r="I80" s="81"/>
      <c r="J80" s="81"/>
      <c r="K80" s="32"/>
      <c r="L80" s="20"/>
    </row>
    <row r="81" spans="1:14" ht="25.5" customHeight="1" x14ac:dyDescent="0.2">
      <c r="A81" s="76" t="s">
        <v>58</v>
      </c>
      <c r="B81" s="76"/>
      <c r="C81" s="76"/>
      <c r="D81" s="76"/>
      <c r="E81" s="76"/>
      <c r="F81" s="76"/>
      <c r="G81" s="76"/>
      <c r="H81" s="76"/>
      <c r="I81" s="76"/>
      <c r="J81" s="76"/>
      <c r="K81" s="33">
        <f>K79-K80</f>
        <v>0</v>
      </c>
      <c r="L81" s="20"/>
    </row>
    <row r="82" spans="1:14" x14ac:dyDescent="0.2">
      <c r="C82" s="14"/>
      <c r="D82" s="14"/>
      <c r="E82" s="14"/>
      <c r="F82" s="14"/>
      <c r="G82" s="14"/>
      <c r="H82" s="14"/>
      <c r="I82" s="14"/>
      <c r="K82" s="17"/>
      <c r="L82" s="17"/>
    </row>
    <row r="83" spans="1:14" x14ac:dyDescent="0.2">
      <c r="A83" s="77" t="s">
        <v>59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9" t="s">
        <v>51</v>
      </c>
    </row>
    <row r="84" spans="1:14" ht="25.5" customHeight="1" x14ac:dyDescent="0.2">
      <c r="A84" s="76" t="s">
        <v>60</v>
      </c>
      <c r="B84" s="76"/>
      <c r="C84" s="76"/>
      <c r="D84" s="76"/>
      <c r="E84" s="76"/>
      <c r="F84" s="76"/>
      <c r="G84" s="76"/>
      <c r="H84" s="76"/>
      <c r="I84" s="76"/>
      <c r="J84" s="76"/>
      <c r="K84" s="32"/>
      <c r="L84" s="20"/>
    </row>
    <row r="85" spans="1:14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2" t="s">
        <v>61</v>
      </c>
      <c r="K85" s="34">
        <f>IF(K84&gt;3.6,3.6,K84)</f>
        <v>0</v>
      </c>
      <c r="L85" s="20"/>
    </row>
    <row r="86" spans="1:14" x14ac:dyDescent="0.2">
      <c r="A86" s="81" t="s">
        <v>62</v>
      </c>
      <c r="B86" s="81"/>
      <c r="C86" s="81"/>
      <c r="D86" s="81"/>
      <c r="E86" s="81"/>
      <c r="F86" s="81"/>
      <c r="G86" s="81"/>
      <c r="H86" s="81"/>
      <c r="I86" s="81"/>
      <c r="J86" s="81" t="s">
        <v>62</v>
      </c>
      <c r="K86" s="32"/>
      <c r="L86" s="20"/>
    </row>
    <row r="87" spans="1:14" x14ac:dyDescent="0.2">
      <c r="A87" s="81" t="s">
        <v>63</v>
      </c>
      <c r="B87" s="81"/>
      <c r="C87" s="81"/>
      <c r="D87" s="81"/>
      <c r="E87" s="81"/>
      <c r="F87" s="81"/>
      <c r="G87" s="81"/>
      <c r="H87" s="81"/>
      <c r="I87" s="81"/>
      <c r="J87" s="81"/>
      <c r="K87" s="34">
        <f>K85*K86*6/12</f>
        <v>0</v>
      </c>
      <c r="L87" s="20"/>
    </row>
    <row r="88" spans="1:14" ht="13.5" customHeight="1" x14ac:dyDescent="0.2">
      <c r="A88" s="63"/>
      <c r="B88" s="62"/>
      <c r="C88" s="62"/>
      <c r="D88" s="62"/>
      <c r="E88" s="62"/>
      <c r="F88" s="62"/>
      <c r="G88" s="62"/>
      <c r="H88" s="62"/>
      <c r="I88" s="62"/>
      <c r="J88" s="17" t="s">
        <v>64</v>
      </c>
      <c r="K88" s="35">
        <f>K87*7.48</f>
        <v>0</v>
      </c>
      <c r="L88" s="20"/>
    </row>
    <row r="90" spans="1:14" ht="15.75" x14ac:dyDescent="0.25">
      <c r="A90" s="31" t="s">
        <v>67</v>
      </c>
      <c r="C90" s="2"/>
      <c r="N90" s="14" t="s">
        <v>40</v>
      </c>
    </row>
    <row r="91" spans="1:14" x14ac:dyDescent="0.2">
      <c r="A91" s="77" t="s">
        <v>41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</row>
    <row r="92" spans="1:14" s="4" customFormat="1" ht="25.5" x14ac:dyDescent="0.2">
      <c r="A92" s="18" t="s">
        <v>42</v>
      </c>
      <c r="B92" s="82" t="s">
        <v>43</v>
      </c>
      <c r="C92" s="82"/>
      <c r="D92" s="9" t="s">
        <v>10</v>
      </c>
      <c r="E92" s="9" t="s">
        <v>44</v>
      </c>
      <c r="F92" s="9" t="s">
        <v>45</v>
      </c>
      <c r="G92" s="9" t="s">
        <v>46</v>
      </c>
      <c r="H92" s="9" t="s">
        <v>47</v>
      </c>
      <c r="I92" s="9" t="s">
        <v>48</v>
      </c>
      <c r="J92" s="9" t="s">
        <v>49</v>
      </c>
      <c r="K92" s="9" t="s">
        <v>50</v>
      </c>
      <c r="L92" s="9" t="s">
        <v>51</v>
      </c>
    </row>
    <row r="93" spans="1:14" ht="12.75" customHeight="1" x14ac:dyDescent="0.2">
      <c r="A93" s="3">
        <v>1</v>
      </c>
      <c r="B93" s="80"/>
      <c r="C93" s="80"/>
      <c r="D93" s="10"/>
      <c r="E93" s="15" t="s">
        <v>52</v>
      </c>
      <c r="F93" s="24" cm="1">
        <f t="array" ref="F93">_xlfn.IFS(E93="above invert",0.5,E93="below invert",1,E93="ponding",1,E93=" ",0)</f>
        <v>0</v>
      </c>
      <c r="G93" s="11"/>
      <c r="H93" s="10"/>
      <c r="I93" s="10"/>
      <c r="J93" s="12">
        <f>H93*I93</f>
        <v>0</v>
      </c>
      <c r="K93" s="13">
        <f>D93*G93*J93*F93</f>
        <v>0</v>
      </c>
      <c r="L93" s="79"/>
    </row>
    <row r="94" spans="1:14" x14ac:dyDescent="0.2">
      <c r="A94" s="3">
        <v>2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 t="shared" ref="J94:J97" si="3">H94*I94</f>
        <v>0</v>
      </c>
      <c r="K94" s="13">
        <f>D94*G94*J94*F94</f>
        <v>0</v>
      </c>
      <c r="L94" s="79"/>
    </row>
    <row r="95" spans="1:14" x14ac:dyDescent="0.2">
      <c r="A95" s="3">
        <v>3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si="3"/>
        <v>0</v>
      </c>
      <c r="K95" s="13">
        <f>D95*G95*J95*F95</f>
        <v>0</v>
      </c>
      <c r="L95" s="79"/>
    </row>
    <row r="96" spans="1:14" x14ac:dyDescent="0.2">
      <c r="A96" s="3">
        <v>4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5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0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J98" s="62" t="s">
        <v>53</v>
      </c>
      <c r="K98" s="13">
        <f>SUM(K93:K97)</f>
        <v>0</v>
      </c>
      <c r="L98" s="79"/>
    </row>
    <row r="99" spans="1:12" x14ac:dyDescent="0.2">
      <c r="C99" s="14"/>
      <c r="D99" s="14"/>
      <c r="E99" s="14"/>
      <c r="F99" s="14"/>
      <c r="G99" s="14"/>
      <c r="H99" s="14"/>
      <c r="I99" s="14"/>
      <c r="J99" s="17" t="s">
        <v>54</v>
      </c>
      <c r="K99" s="16">
        <f>K98*7.48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K100" s="17"/>
      <c r="L100" s="17"/>
    </row>
    <row r="101" spans="1:12" x14ac:dyDescent="0.2">
      <c r="A101" s="77" t="s">
        <v>55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9" t="s">
        <v>51</v>
      </c>
    </row>
    <row r="102" spans="1:12" x14ac:dyDescent="0.2">
      <c r="A102" s="76" t="s">
        <v>56</v>
      </c>
      <c r="B102" s="76"/>
      <c r="C102" s="76"/>
      <c r="D102" s="76"/>
      <c r="E102" s="76"/>
      <c r="F102" s="76"/>
      <c r="G102" s="76"/>
      <c r="H102" s="76"/>
      <c r="I102" s="76"/>
      <c r="J102" s="76"/>
      <c r="K102" s="32"/>
      <c r="L102" s="20"/>
    </row>
    <row r="103" spans="1:12" x14ac:dyDescent="0.2">
      <c r="A103" s="81" t="s">
        <v>57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32"/>
      <c r="L103" s="20"/>
    </row>
    <row r="104" spans="1:12" ht="25.5" customHeight="1" x14ac:dyDescent="0.2">
      <c r="A104" s="76" t="s">
        <v>58</v>
      </c>
      <c r="B104" s="76"/>
      <c r="C104" s="76"/>
      <c r="D104" s="76"/>
      <c r="E104" s="76"/>
      <c r="F104" s="76"/>
      <c r="G104" s="76"/>
      <c r="H104" s="76"/>
      <c r="I104" s="76"/>
      <c r="J104" s="76"/>
      <c r="K104" s="33">
        <f>K102-K103</f>
        <v>0</v>
      </c>
      <c r="L104" s="20"/>
    </row>
    <row r="105" spans="1:12" x14ac:dyDescent="0.2">
      <c r="C105" s="14"/>
      <c r="D105" s="14"/>
      <c r="E105" s="14"/>
      <c r="F105" s="14"/>
      <c r="G105" s="14"/>
      <c r="H105" s="14"/>
      <c r="I105" s="14"/>
      <c r="K105" s="17"/>
      <c r="L105" s="17"/>
    </row>
    <row r="106" spans="1:12" x14ac:dyDescent="0.2">
      <c r="A106" s="77" t="s">
        <v>59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9" t="s">
        <v>51</v>
      </c>
    </row>
    <row r="107" spans="1:12" ht="25.5" customHeight="1" x14ac:dyDescent="0.2">
      <c r="A107" s="76" t="s">
        <v>60</v>
      </c>
      <c r="B107" s="76"/>
      <c r="C107" s="76"/>
      <c r="D107" s="76"/>
      <c r="E107" s="76"/>
      <c r="F107" s="76"/>
      <c r="G107" s="76"/>
      <c r="H107" s="76"/>
      <c r="I107" s="76"/>
      <c r="J107" s="76"/>
      <c r="K107" s="32"/>
      <c r="L107" s="20"/>
    </row>
    <row r="108" spans="1:12" x14ac:dyDescent="0.2">
      <c r="A108" s="63"/>
      <c r="B108" s="63"/>
      <c r="C108" s="63"/>
      <c r="D108" s="63"/>
      <c r="E108" s="63"/>
      <c r="F108" s="63"/>
      <c r="G108" s="63"/>
      <c r="H108" s="63"/>
      <c r="I108" s="63"/>
      <c r="J108" s="62" t="s">
        <v>61</v>
      </c>
      <c r="K108" s="34">
        <f>IF(K107&gt;3.6,3.6,K107)</f>
        <v>0</v>
      </c>
      <c r="L108" s="20"/>
    </row>
    <row r="109" spans="1:12" x14ac:dyDescent="0.2">
      <c r="A109" s="81" t="s">
        <v>62</v>
      </c>
      <c r="B109" s="81"/>
      <c r="C109" s="81"/>
      <c r="D109" s="81"/>
      <c r="E109" s="81"/>
      <c r="F109" s="81"/>
      <c r="G109" s="81"/>
      <c r="H109" s="81"/>
      <c r="I109" s="81"/>
      <c r="J109" s="81" t="s">
        <v>62</v>
      </c>
      <c r="K109" s="32"/>
      <c r="L109" s="20"/>
    </row>
    <row r="110" spans="1:12" x14ac:dyDescent="0.2">
      <c r="A110" s="81" t="s">
        <v>63</v>
      </c>
      <c r="B110" s="81"/>
      <c r="C110" s="81"/>
      <c r="D110" s="81"/>
      <c r="E110" s="81"/>
      <c r="F110" s="81"/>
      <c r="G110" s="81"/>
      <c r="H110" s="81"/>
      <c r="I110" s="81"/>
      <c r="J110" s="81"/>
      <c r="K110" s="34">
        <f>K108*K109*6/12</f>
        <v>0</v>
      </c>
      <c r="L110" s="20"/>
    </row>
    <row r="111" spans="1:12" ht="13.5" customHeight="1" x14ac:dyDescent="0.2">
      <c r="A111" s="63"/>
      <c r="B111" s="62"/>
      <c r="C111" s="62"/>
      <c r="D111" s="62"/>
      <c r="E111" s="62"/>
      <c r="F111" s="62"/>
      <c r="G111" s="62"/>
      <c r="H111" s="62"/>
      <c r="I111" s="62"/>
      <c r="J111" s="17" t="s">
        <v>64</v>
      </c>
      <c r="K111" s="35">
        <f>K110*7.48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</row>
    <row r="113" spans="1:14" ht="15.75" x14ac:dyDescent="0.25">
      <c r="A113" s="31" t="s">
        <v>68</v>
      </c>
      <c r="C113" s="2"/>
      <c r="N113" s="14" t="s">
        <v>40</v>
      </c>
    </row>
    <row r="114" spans="1:14" x14ac:dyDescent="0.2">
      <c r="A114" s="77" t="s">
        <v>41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</row>
    <row r="115" spans="1:14" s="4" customFormat="1" ht="25.5" x14ac:dyDescent="0.2">
      <c r="A115" s="18" t="s">
        <v>42</v>
      </c>
      <c r="B115" s="82" t="s">
        <v>43</v>
      </c>
      <c r="C115" s="82"/>
      <c r="D115" s="9" t="s">
        <v>10</v>
      </c>
      <c r="E115" s="9" t="s">
        <v>44</v>
      </c>
      <c r="F115" s="9" t="s">
        <v>45</v>
      </c>
      <c r="G115" s="9" t="s">
        <v>46</v>
      </c>
      <c r="H115" s="9" t="s">
        <v>47</v>
      </c>
      <c r="I115" s="9" t="s">
        <v>48</v>
      </c>
      <c r="J115" s="9" t="s">
        <v>49</v>
      </c>
      <c r="K115" s="9" t="s">
        <v>50</v>
      </c>
      <c r="L115" s="9" t="s">
        <v>51</v>
      </c>
    </row>
    <row r="116" spans="1:14" ht="12.75" customHeight="1" x14ac:dyDescent="0.2">
      <c r="A116" s="3">
        <v>1</v>
      </c>
      <c r="B116" s="80"/>
      <c r="C116" s="80"/>
      <c r="D116" s="10"/>
      <c r="E116" s="15" t="s">
        <v>52</v>
      </c>
      <c r="F116" s="24" cm="1">
        <f t="array" ref="F116">_xlfn.IFS(E116="above invert",0.5,E116="below invert",1,E116="ponding",1,E116=" ",0)</f>
        <v>0</v>
      </c>
      <c r="G116" s="11"/>
      <c r="H116" s="10"/>
      <c r="I116" s="10"/>
      <c r="J116" s="12">
        <f>H116*I116</f>
        <v>0</v>
      </c>
      <c r="K116" s="13">
        <f>D116*G116*J116*F116</f>
        <v>0</v>
      </c>
      <c r="L116" s="79"/>
    </row>
    <row r="117" spans="1:14" x14ac:dyDescent="0.2">
      <c r="A117" s="3">
        <v>2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 t="shared" ref="J117:J120" si="4">H117*I117</f>
        <v>0</v>
      </c>
      <c r="K117" s="13">
        <f>D117*G117*J117*F117</f>
        <v>0</v>
      </c>
      <c r="L117" s="79"/>
    </row>
    <row r="118" spans="1:14" x14ac:dyDescent="0.2">
      <c r="A118" s="3">
        <v>3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si="4"/>
        <v>0</v>
      </c>
      <c r="K118" s="13">
        <f>D118*G118*J118*F118</f>
        <v>0</v>
      </c>
      <c r="L118" s="79"/>
    </row>
    <row r="119" spans="1:14" x14ac:dyDescent="0.2">
      <c r="A119" s="3">
        <v>4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5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0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J121" s="62" t="s">
        <v>53</v>
      </c>
      <c r="K121" s="13">
        <f>SUM(K116:K120)</f>
        <v>0</v>
      </c>
      <c r="L121" s="79"/>
    </row>
    <row r="122" spans="1:14" x14ac:dyDescent="0.2">
      <c r="C122" s="14"/>
      <c r="D122" s="14"/>
      <c r="E122" s="14"/>
      <c r="F122" s="14"/>
      <c r="G122" s="14"/>
      <c r="H122" s="14"/>
      <c r="I122" s="14"/>
      <c r="J122" s="17" t="s">
        <v>54</v>
      </c>
      <c r="K122" s="16">
        <f>K121*7.48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K123" s="17"/>
      <c r="L123" s="17"/>
    </row>
    <row r="124" spans="1:14" x14ac:dyDescent="0.2">
      <c r="A124" s="77" t="s">
        <v>55</v>
      </c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9" t="s">
        <v>51</v>
      </c>
    </row>
    <row r="125" spans="1:14" x14ac:dyDescent="0.2">
      <c r="A125" s="76" t="s">
        <v>56</v>
      </c>
      <c r="B125" s="76"/>
      <c r="C125" s="76"/>
      <c r="D125" s="76"/>
      <c r="E125" s="76"/>
      <c r="F125" s="76"/>
      <c r="G125" s="76"/>
      <c r="H125" s="76"/>
      <c r="I125" s="76"/>
      <c r="J125" s="76"/>
      <c r="K125" s="32"/>
      <c r="L125" s="20"/>
    </row>
    <row r="126" spans="1:14" x14ac:dyDescent="0.2">
      <c r="A126" s="81" t="s">
        <v>57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32"/>
      <c r="L126" s="20"/>
    </row>
    <row r="127" spans="1:14" ht="25.5" customHeight="1" x14ac:dyDescent="0.2">
      <c r="A127" s="76" t="s">
        <v>58</v>
      </c>
      <c r="B127" s="76"/>
      <c r="C127" s="76"/>
      <c r="D127" s="76"/>
      <c r="E127" s="76"/>
      <c r="F127" s="76"/>
      <c r="G127" s="76"/>
      <c r="H127" s="76"/>
      <c r="I127" s="76"/>
      <c r="J127" s="76"/>
      <c r="K127" s="33">
        <f>K125-K126</f>
        <v>0</v>
      </c>
      <c r="L127" s="20"/>
    </row>
    <row r="128" spans="1:14" x14ac:dyDescent="0.2">
      <c r="C128" s="14"/>
      <c r="D128" s="14"/>
      <c r="E128" s="14"/>
      <c r="F128" s="14"/>
      <c r="G128" s="14"/>
      <c r="H128" s="14"/>
      <c r="I128" s="14"/>
      <c r="K128" s="17"/>
      <c r="L128" s="17"/>
    </row>
    <row r="129" spans="1:12" x14ac:dyDescent="0.2">
      <c r="A129" s="77" t="s">
        <v>59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9" t="s">
        <v>51</v>
      </c>
    </row>
    <row r="130" spans="1:12" ht="25.5" customHeight="1" x14ac:dyDescent="0.2">
      <c r="A130" s="76" t="s">
        <v>60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32"/>
      <c r="L130" s="20"/>
    </row>
    <row r="131" spans="1:12" x14ac:dyDescent="0.2">
      <c r="A131" s="63"/>
      <c r="B131" s="63"/>
      <c r="C131" s="63"/>
      <c r="D131" s="63"/>
      <c r="E131" s="63"/>
      <c r="F131" s="63"/>
      <c r="G131" s="63"/>
      <c r="H131" s="63"/>
      <c r="I131" s="63"/>
      <c r="J131" s="62" t="s">
        <v>61</v>
      </c>
      <c r="K131" s="34">
        <f>IF(K130&gt;3.6,3.6,K130)</f>
        <v>0</v>
      </c>
      <c r="L131" s="20"/>
    </row>
    <row r="132" spans="1:12" x14ac:dyDescent="0.2">
      <c r="A132" s="81" t="s">
        <v>62</v>
      </c>
      <c r="B132" s="81"/>
      <c r="C132" s="81"/>
      <c r="D132" s="81"/>
      <c r="E132" s="81"/>
      <c r="F132" s="81"/>
      <c r="G132" s="81"/>
      <c r="H132" s="81"/>
      <c r="I132" s="81"/>
      <c r="J132" s="81" t="s">
        <v>62</v>
      </c>
      <c r="K132" s="32"/>
      <c r="L132" s="20"/>
    </row>
    <row r="133" spans="1:12" x14ac:dyDescent="0.2">
      <c r="A133" s="81" t="s">
        <v>63</v>
      </c>
      <c r="B133" s="81"/>
      <c r="C133" s="81"/>
      <c r="D133" s="81"/>
      <c r="E133" s="81"/>
      <c r="F133" s="81"/>
      <c r="G133" s="81"/>
      <c r="H133" s="81"/>
      <c r="I133" s="81"/>
      <c r="J133" s="81"/>
      <c r="K133" s="34">
        <f>K131*K132*6/12</f>
        <v>0</v>
      </c>
      <c r="L133" s="20"/>
    </row>
    <row r="134" spans="1:12" ht="13.5" customHeight="1" x14ac:dyDescent="0.2">
      <c r="A134" s="63"/>
      <c r="B134" s="62"/>
      <c r="C134" s="62"/>
      <c r="D134" s="62"/>
      <c r="E134" s="62"/>
      <c r="F134" s="62"/>
      <c r="G134" s="62"/>
      <c r="H134" s="62"/>
      <c r="I134" s="62"/>
      <c r="J134" s="17" t="s">
        <v>64</v>
      </c>
      <c r="K134" s="35">
        <f>K133*7.48</f>
        <v>0</v>
      </c>
      <c r="L134" s="20"/>
    </row>
  </sheetData>
  <mergeCells count="104">
    <mergeCell ref="A132:J132"/>
    <mergeCell ref="A133:J133"/>
    <mergeCell ref="A124:K124"/>
    <mergeCell ref="A125:J125"/>
    <mergeCell ref="A126:J126"/>
    <mergeCell ref="A127:J127"/>
    <mergeCell ref="A129:K129"/>
    <mergeCell ref="A130:J130"/>
    <mergeCell ref="A109:J109"/>
    <mergeCell ref="A110:J110"/>
    <mergeCell ref="A114:L114"/>
    <mergeCell ref="B115:C115"/>
    <mergeCell ref="B116:C116"/>
    <mergeCell ref="L116:L122"/>
    <mergeCell ref="B117:C117"/>
    <mergeCell ref="B118:C118"/>
    <mergeCell ref="B119:C119"/>
    <mergeCell ref="B120:C120"/>
    <mergeCell ref="A101:K101"/>
    <mergeCell ref="A102:J102"/>
    <mergeCell ref="A103:J103"/>
    <mergeCell ref="A104:J104"/>
    <mergeCell ref="A106:K106"/>
    <mergeCell ref="A107:J107"/>
    <mergeCell ref="A86:J86"/>
    <mergeCell ref="A87:J87"/>
    <mergeCell ref="A91:L91"/>
    <mergeCell ref="B92:C92"/>
    <mergeCell ref="B93:C93"/>
    <mergeCell ref="L93:L99"/>
    <mergeCell ref="B94:C94"/>
    <mergeCell ref="B95:C95"/>
    <mergeCell ref="B96:C96"/>
    <mergeCell ref="B97:C97"/>
    <mergeCell ref="A78:K78"/>
    <mergeCell ref="A79:J79"/>
    <mergeCell ref="A80:J80"/>
    <mergeCell ref="A81:J81"/>
    <mergeCell ref="A83:K83"/>
    <mergeCell ref="A84:J84"/>
    <mergeCell ref="A63:J63"/>
    <mergeCell ref="A64:J64"/>
    <mergeCell ref="A68:L68"/>
    <mergeCell ref="B69:C69"/>
    <mergeCell ref="B70:C70"/>
    <mergeCell ref="L70:L76"/>
    <mergeCell ref="B71:C71"/>
    <mergeCell ref="B72:C72"/>
    <mergeCell ref="B73:C73"/>
    <mergeCell ref="B74:C74"/>
    <mergeCell ref="A55:K55"/>
    <mergeCell ref="A56:J56"/>
    <mergeCell ref="A57:J57"/>
    <mergeCell ref="A58:J58"/>
    <mergeCell ref="A60:K60"/>
    <mergeCell ref="A61:J61"/>
    <mergeCell ref="A40:J40"/>
    <mergeCell ref="A41:J41"/>
    <mergeCell ref="A45:L45"/>
    <mergeCell ref="B46:C46"/>
    <mergeCell ref="B47:C47"/>
    <mergeCell ref="L47:L53"/>
    <mergeCell ref="B48:C48"/>
    <mergeCell ref="B49:C49"/>
    <mergeCell ref="B50:C50"/>
    <mergeCell ref="B51:C51"/>
    <mergeCell ref="A32:K32"/>
    <mergeCell ref="A33:J33"/>
    <mergeCell ref="A34:J34"/>
    <mergeCell ref="A35:J35"/>
    <mergeCell ref="A37:K37"/>
    <mergeCell ref="A38:J38"/>
    <mergeCell ref="A22:L22"/>
    <mergeCell ref="B23:C23"/>
    <mergeCell ref="B24:C24"/>
    <mergeCell ref="L24:L30"/>
    <mergeCell ref="B25:C25"/>
    <mergeCell ref="B26:C26"/>
    <mergeCell ref="B27:C27"/>
    <mergeCell ref="B28:C28"/>
    <mergeCell ref="E16:F16"/>
    <mergeCell ref="G16:H16"/>
    <mergeCell ref="A17:B17"/>
    <mergeCell ref="C17:D17"/>
    <mergeCell ref="A18:B18"/>
    <mergeCell ref="C18:E18"/>
    <mergeCell ref="F18:G18"/>
    <mergeCell ref="H18:I18"/>
    <mergeCell ref="A13:B13"/>
    <mergeCell ref="A14:B14"/>
    <mergeCell ref="C14:D14"/>
    <mergeCell ref="A15:B15"/>
    <mergeCell ref="C15:D15"/>
    <mergeCell ref="A16:B16"/>
    <mergeCell ref="K2:L16"/>
    <mergeCell ref="A5:B5"/>
    <mergeCell ref="C5:I5"/>
    <mergeCell ref="A7:B7"/>
    <mergeCell ref="A8:B8"/>
    <mergeCell ref="A9:B9"/>
    <mergeCell ref="E9:I10"/>
    <mergeCell ref="A10:B10"/>
    <mergeCell ref="A11:B11"/>
    <mergeCell ref="A12:B12"/>
  </mergeCells>
  <dataValidations count="3">
    <dataValidation allowBlank="1" showInputMessage="1" showErrorMessage="1" sqref="F116:F120 J1 F24:F28 F47:F51 F70:F74 F93:F97 E9" xr:uid="{258686AC-042B-4989-9B09-505669FEF269}"/>
    <dataValidation type="list" allowBlank="1" showInputMessage="1" showErrorMessage="1" sqref="E93:E97 E116:E120 E24:E28 E70:E74 E47:E51" xr:uid="{49D811CA-ECE9-4120-BA38-A7E378880915}">
      <formula1>"' ,above invert,below invert,ponding"</formula1>
    </dataValidation>
    <dataValidation type="list" allowBlank="1" showInputMessage="1" showErrorMessage="1" sqref="C7" xr:uid="{C7E15B5A-973A-4DA0-995A-BA42E8AAC005}">
      <formula1>"'   ,30%,60%,98%,100%"</formula1>
    </dataValidation>
  </dataValidations>
  <pageMargins left="0.25" right="0.25" top="0.5" bottom="0.5" header="0.3" footer="0.3"/>
  <pageSetup scale="77" fitToHeight="0" orientation="landscape" verticalDpi="1200" r:id="rId1"/>
  <headerFooter>
    <oddFooter>&amp;LDate Printed: &amp;D&amp;CDesign DRC Page &amp;P of &amp;N</oddFooter>
  </headerFooter>
  <rowBreaks count="2" manualBreakCount="2">
    <brk id="43" max="11" man="1"/>
    <brk id="89" max="11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70DAF-969B-45EC-B1F3-60C6970E5499}">
  <sheetPr>
    <tabColor theme="9" tint="0.59999389629810485"/>
    <pageSetUpPr fitToPage="1"/>
  </sheetPr>
  <dimension ref="A1:O134"/>
  <sheetViews>
    <sheetView zoomScaleNormal="100" zoomScaleSheetLayoutView="80" workbookViewId="0">
      <selection activeCell="D7" sqref="D7"/>
    </sheetView>
  </sheetViews>
  <sheetFormatPr defaultRowHeight="12.75" x14ac:dyDescent="0.2"/>
  <cols>
    <col min="1" max="1" width="8.140625" customWidth="1"/>
    <col min="2" max="2" width="18.7109375" customWidth="1"/>
    <col min="3" max="3" width="10.5703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6.85546875" customWidth="1"/>
    <col min="10" max="10" width="9.710937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8"/>
    </row>
    <row r="3" spans="1:15" ht="18" x14ac:dyDescent="0.25">
      <c r="A3" s="1" t="s">
        <v>6</v>
      </c>
      <c r="J3" s="22" t="s">
        <v>7</v>
      </c>
      <c r="K3" s="98"/>
      <c r="L3" s="98"/>
      <c r="N3" s="7" t="s">
        <v>8</v>
      </c>
    </row>
    <row r="4" spans="1:15" ht="15" customHeight="1" x14ac:dyDescent="0.25">
      <c r="A4" s="1"/>
      <c r="K4" s="98"/>
      <c r="L4" s="98"/>
      <c r="N4" s="70" t="s">
        <v>9</v>
      </c>
      <c r="O4" s="70" t="s">
        <v>10</v>
      </c>
    </row>
    <row r="5" spans="1:15" ht="15" customHeight="1" x14ac:dyDescent="0.25">
      <c r="A5" s="99" t="s">
        <v>11</v>
      </c>
      <c r="B5" s="99"/>
      <c r="C5" s="83"/>
      <c r="D5" s="83"/>
      <c r="E5" s="83"/>
      <c r="F5" s="83"/>
      <c r="G5" s="83"/>
      <c r="H5" s="83"/>
      <c r="I5" s="83"/>
      <c r="K5" s="98"/>
      <c r="L5" s="98"/>
      <c r="N5" s="8" t="s">
        <v>12</v>
      </c>
      <c r="O5" s="8">
        <v>0.41</v>
      </c>
    </row>
    <row r="6" spans="1:15" ht="15" customHeight="1" x14ac:dyDescent="0.25">
      <c r="A6" s="69" t="s">
        <v>13</v>
      </c>
      <c r="B6" s="69"/>
      <c r="C6" s="64"/>
      <c r="D6" s="69"/>
      <c r="E6" s="69"/>
      <c r="F6" s="69"/>
      <c r="G6" s="69"/>
      <c r="H6" s="69"/>
      <c r="I6" s="69"/>
      <c r="K6" s="98"/>
      <c r="L6" s="98"/>
      <c r="N6" s="8" t="s">
        <v>14</v>
      </c>
      <c r="O6" s="8">
        <v>0.38</v>
      </c>
    </row>
    <row r="7" spans="1:15" ht="15" customHeight="1" thickBot="1" x14ac:dyDescent="0.3">
      <c r="A7" s="94" t="s">
        <v>15</v>
      </c>
      <c r="B7" s="94"/>
      <c r="C7" s="205">
        <v>1</v>
      </c>
      <c r="D7" s="66" t="s">
        <v>144</v>
      </c>
      <c r="E7" s="48"/>
      <c r="F7" s="26"/>
      <c r="K7" s="98"/>
      <c r="L7" s="98"/>
      <c r="N7" s="8" t="s">
        <v>17</v>
      </c>
      <c r="O7" s="8">
        <v>0.28000000000000003</v>
      </c>
    </row>
    <row r="8" spans="1:15" ht="15" customHeight="1" x14ac:dyDescent="0.25">
      <c r="A8" s="94" t="s">
        <v>18</v>
      </c>
      <c r="B8" s="94"/>
      <c r="C8" s="27">
        <f>SUMIF(J24:J504,"Subtotal Constructed Volume (gallons)",K24:K504)</f>
        <v>0</v>
      </c>
      <c r="D8" s="28" t="s">
        <v>19</v>
      </c>
      <c r="E8" s="49" t="s">
        <v>20</v>
      </c>
      <c r="F8" s="50"/>
      <c r="G8" s="50"/>
      <c r="H8" s="50"/>
      <c r="I8" s="51"/>
      <c r="K8" s="98"/>
      <c r="L8" s="98"/>
      <c r="N8" s="8" t="s">
        <v>21</v>
      </c>
      <c r="O8" s="8">
        <v>0.28000000000000003</v>
      </c>
    </row>
    <row r="9" spans="1:15" ht="15" customHeight="1" x14ac:dyDescent="0.25">
      <c r="A9" s="94" t="s">
        <v>22</v>
      </c>
      <c r="B9" s="94"/>
      <c r="C9" s="27">
        <f>SUMIF(J24:J504,"Infiltration Volume (gallons)",K24:K504)</f>
        <v>0</v>
      </c>
      <c r="D9" s="28" t="s">
        <v>19</v>
      </c>
      <c r="E9" s="100" t="str">
        <f>IF(ISNUMBER('CN &amp; Runoff Volume'!AU22),IF(C10=0,"To be determined",IF(C10&lt;'CN &amp; Runoff Volume'!AU22,"WARNING! DRC does not meet the 10-yr runoff volume",IF(C10&gt;'CN &amp; Runoff Volume'!AU26,"DRC exceeds the 100-yr runoff volume - DRC will be capped to calculate MWRD Contribution","DRC is between the 10- to 100-yr runoff volume"))),"Please fill in CN &amp; Runoff Volume tab")</f>
        <v>Please fill in CN &amp; Runoff Volume tab</v>
      </c>
      <c r="F9" s="101"/>
      <c r="G9" s="101"/>
      <c r="H9" s="101"/>
      <c r="I9" s="102"/>
      <c r="K9" s="98"/>
      <c r="L9" s="98"/>
      <c r="N9" s="8" t="s">
        <v>23</v>
      </c>
      <c r="O9" s="8">
        <v>0.25</v>
      </c>
    </row>
    <row r="10" spans="1:15" ht="15" customHeight="1" thickBot="1" x14ac:dyDescent="0.3">
      <c r="A10" s="107" t="s">
        <v>24</v>
      </c>
      <c r="B10" s="108"/>
      <c r="C10" s="29">
        <f>SUM(C8:C9)</f>
        <v>0</v>
      </c>
      <c r="D10" s="30" t="s">
        <v>19</v>
      </c>
      <c r="E10" s="103"/>
      <c r="F10" s="104"/>
      <c r="G10" s="104"/>
      <c r="H10" s="104"/>
      <c r="I10" s="105"/>
      <c r="K10" s="98"/>
      <c r="L10" s="98"/>
    </row>
    <row r="11" spans="1:15" ht="15" customHeight="1" x14ac:dyDescent="0.25">
      <c r="A11" s="107" t="s">
        <v>25</v>
      </c>
      <c r="B11" s="108"/>
      <c r="C11" s="29">
        <f>IF(C10&gt;'CN &amp; Runoff Volume'!AU26,'CN &amp; Runoff Volume'!AU26,C10)</f>
        <v>0</v>
      </c>
      <c r="D11" s="53" t="s">
        <v>19</v>
      </c>
      <c r="H11" s="48"/>
      <c r="I11" s="48"/>
      <c r="J11" s="48"/>
      <c r="K11" s="98"/>
      <c r="L11" s="98"/>
      <c r="N11" s="8"/>
      <c r="O11" s="8"/>
    </row>
    <row r="12" spans="1:15" ht="15" customHeight="1" x14ac:dyDescent="0.2">
      <c r="A12" s="94" t="s">
        <v>26</v>
      </c>
      <c r="B12" s="94"/>
      <c r="C12" s="27">
        <f>C11-C8</f>
        <v>0</v>
      </c>
      <c r="J12" s="48"/>
      <c r="K12" s="98"/>
      <c r="L12" s="98"/>
    </row>
    <row r="13" spans="1:15" ht="14.25" x14ac:dyDescent="0.2">
      <c r="A13" s="95" t="s">
        <v>27</v>
      </c>
      <c r="B13" s="95"/>
      <c r="C13" s="60"/>
      <c r="D13" s="54" t="s">
        <v>28</v>
      </c>
      <c r="F13" s="60"/>
      <c r="G13" s="54" t="s">
        <v>29</v>
      </c>
      <c r="I13" s="48"/>
      <c r="J13" s="48"/>
      <c r="K13" s="98"/>
      <c r="L13" s="98"/>
    </row>
    <row r="14" spans="1:15" ht="14.25" x14ac:dyDescent="0.2">
      <c r="A14" s="96" t="s">
        <v>30</v>
      </c>
      <c r="B14" s="96"/>
      <c r="C14" s="106">
        <f>C8*C13+C12*F13</f>
        <v>0</v>
      </c>
      <c r="D14" s="106"/>
      <c r="E14" s="26"/>
      <c r="F14" s="59"/>
      <c r="G14" s="59"/>
      <c r="H14" s="59"/>
      <c r="I14" s="59"/>
      <c r="K14" s="98"/>
      <c r="L14" s="98"/>
    </row>
    <row r="15" spans="1:15" ht="14.25" x14ac:dyDescent="0.2">
      <c r="A15" s="86" t="s">
        <v>31</v>
      </c>
      <c r="B15" s="86"/>
      <c r="C15" s="92">
        <v>0</v>
      </c>
      <c r="D15" s="92"/>
      <c r="E15" s="5" t="s">
        <v>141</v>
      </c>
      <c r="F15" s="59"/>
      <c r="G15" s="59"/>
      <c r="H15" s="59"/>
      <c r="I15" s="59"/>
      <c r="K15" s="98"/>
      <c r="L15" s="98"/>
    </row>
    <row r="16" spans="1:15" ht="14.25" x14ac:dyDescent="0.2">
      <c r="A16" s="87" t="s">
        <v>32</v>
      </c>
      <c r="B16" s="87"/>
      <c r="C16" s="61"/>
      <c r="D16" t="s">
        <v>33</v>
      </c>
      <c r="E16" s="90" t="s">
        <v>34</v>
      </c>
      <c r="F16" s="90"/>
      <c r="G16" s="91" t="s">
        <v>35</v>
      </c>
      <c r="H16" s="91"/>
      <c r="K16" s="98"/>
      <c r="L16" s="98"/>
    </row>
    <row r="17" spans="1:14" ht="30" customHeight="1" x14ac:dyDescent="0.25">
      <c r="A17" s="88" t="s">
        <v>36</v>
      </c>
      <c r="B17" s="88"/>
      <c r="C17" s="84">
        <f>MIN(C14,C15*C16,G16)</f>
        <v>0</v>
      </c>
      <c r="D17" s="85"/>
      <c r="K17" s="68"/>
      <c r="L17" s="68"/>
    </row>
    <row r="18" spans="1:14" ht="29.25" customHeight="1" x14ac:dyDescent="0.2">
      <c r="A18" s="89" t="s">
        <v>37</v>
      </c>
      <c r="B18" s="89"/>
      <c r="C18" s="93"/>
      <c r="D18" s="93"/>
      <c r="E18" s="93"/>
      <c r="F18" s="89" t="s">
        <v>38</v>
      </c>
      <c r="G18" s="89"/>
      <c r="H18" s="78"/>
      <c r="I18" s="78"/>
      <c r="K18" s="68"/>
      <c r="L18" s="68"/>
    </row>
    <row r="19" spans="1:14" ht="13.5" customHeight="1" x14ac:dyDescent="0.2">
      <c r="K19" s="68"/>
      <c r="L19" s="68"/>
    </row>
    <row r="20" spans="1:14" x14ac:dyDescent="0.2">
      <c r="K20" s="68"/>
      <c r="L20" s="68"/>
    </row>
    <row r="21" spans="1:14" ht="15" x14ac:dyDescent="0.25">
      <c r="A21" s="31" t="s">
        <v>39</v>
      </c>
      <c r="N21" s="14" t="s">
        <v>40</v>
      </c>
    </row>
    <row r="22" spans="1:14" x14ac:dyDescent="0.2">
      <c r="A22" s="77" t="s">
        <v>41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</row>
    <row r="23" spans="1:14" s="4" customFormat="1" ht="25.5" x14ac:dyDescent="0.2">
      <c r="A23" s="18" t="s">
        <v>42</v>
      </c>
      <c r="B23" s="82" t="s">
        <v>43</v>
      </c>
      <c r="C23" s="82"/>
      <c r="D23" s="9" t="s">
        <v>10</v>
      </c>
      <c r="E23" s="9" t="s">
        <v>44</v>
      </c>
      <c r="F23" s="9" t="s">
        <v>45</v>
      </c>
      <c r="G23" s="9" t="s">
        <v>46</v>
      </c>
      <c r="H23" s="9" t="s">
        <v>47</v>
      </c>
      <c r="I23" s="9" t="s">
        <v>48</v>
      </c>
      <c r="J23" s="9" t="s">
        <v>49</v>
      </c>
      <c r="K23" s="9" t="s">
        <v>50</v>
      </c>
      <c r="L23" s="9" t="s">
        <v>51</v>
      </c>
    </row>
    <row r="24" spans="1:14" x14ac:dyDescent="0.2">
      <c r="A24" s="3">
        <v>1</v>
      </c>
      <c r="B24" s="80"/>
      <c r="C24" s="80"/>
      <c r="D24" s="10"/>
      <c r="E24" s="15" t="s">
        <v>52</v>
      </c>
      <c r="F24" s="24" cm="1">
        <f t="array" ref="F24">_xlfn.IFS(E24="above invert",0.5,E24="below invert",1,E24="ponding",1,E24=" ",0)</f>
        <v>0</v>
      </c>
      <c r="G24" s="11"/>
      <c r="H24" s="10"/>
      <c r="I24" s="10"/>
      <c r="J24" s="12">
        <f>H24*I24</f>
        <v>0</v>
      </c>
      <c r="K24" s="13">
        <f>D24*G24*J24*F24</f>
        <v>0</v>
      </c>
      <c r="L24" s="79"/>
    </row>
    <row r="25" spans="1:14" x14ac:dyDescent="0.2">
      <c r="A25" s="3">
        <v>2</v>
      </c>
      <c r="B25" s="80"/>
      <c r="C25" s="80"/>
      <c r="D25" s="10"/>
      <c r="E25" s="15" t="s">
        <v>52</v>
      </c>
      <c r="F25" s="24" cm="1">
        <f t="array" ref="F25">_xlfn.IFS(E25="above invert",0.5,E25="below invert",1,E25="ponding",1,E25=" ",0)</f>
        <v>0</v>
      </c>
      <c r="G25" s="11"/>
      <c r="H25" s="10"/>
      <c r="I25" s="10"/>
      <c r="J25" s="12">
        <f t="shared" ref="J25:J28" si="0">H25*I25</f>
        <v>0</v>
      </c>
      <c r="K25" s="13">
        <f>D25*G25*J25*F25</f>
        <v>0</v>
      </c>
      <c r="L25" s="79"/>
    </row>
    <row r="26" spans="1:14" x14ac:dyDescent="0.2">
      <c r="A26" s="3">
        <v>3</v>
      </c>
      <c r="B26" s="80"/>
      <c r="C26" s="80"/>
      <c r="D26" s="10"/>
      <c r="E26" s="15" t="s">
        <v>52</v>
      </c>
      <c r="F26" s="24" cm="1">
        <f t="array" ref="F26">_xlfn.IFS(E26="above invert",0.5,E26="below invert",1,E26="ponding",1,E26=" ",0)</f>
        <v>0</v>
      </c>
      <c r="G26" s="11"/>
      <c r="H26" s="10"/>
      <c r="I26" s="10"/>
      <c r="J26" s="12">
        <f t="shared" si="0"/>
        <v>0</v>
      </c>
      <c r="K26" s="13">
        <f>D26*G26*J26*F26</f>
        <v>0</v>
      </c>
      <c r="L26" s="79"/>
    </row>
    <row r="27" spans="1:14" x14ac:dyDescent="0.2">
      <c r="A27" s="3">
        <v>4</v>
      </c>
      <c r="B27" s="80"/>
      <c r="C27" s="80"/>
      <c r="D27" s="10"/>
      <c r="E27" s="15" t="s">
        <v>52</v>
      </c>
      <c r="F27" s="24" cm="1">
        <f t="array" ref="F27">_xlfn.IFS(E27="above invert",0.5,E27="below invert",1,E27="ponding",1,E27=" ",0)</f>
        <v>0</v>
      </c>
      <c r="G27" s="11"/>
      <c r="H27" s="10"/>
      <c r="I27" s="10"/>
      <c r="J27" s="12">
        <f t="shared" si="0"/>
        <v>0</v>
      </c>
      <c r="K27" s="13">
        <f>D27*G27*J27*F27</f>
        <v>0</v>
      </c>
      <c r="L27" s="79"/>
    </row>
    <row r="28" spans="1:14" x14ac:dyDescent="0.2">
      <c r="A28" s="3">
        <v>5</v>
      </c>
      <c r="B28" s="80"/>
      <c r="C28" s="80"/>
      <c r="D28" s="10"/>
      <c r="E28" s="15" t="s">
        <v>52</v>
      </c>
      <c r="F28" s="24" cm="1">
        <f t="array" ref="F28">_xlfn.IFS(E28="above invert",0.5,E28="below invert",1,E28="ponding",1,E28=" ",0)</f>
        <v>0</v>
      </c>
      <c r="G28" s="10"/>
      <c r="H28" s="10"/>
      <c r="I28" s="10"/>
      <c r="J28" s="12">
        <f t="shared" si="0"/>
        <v>0</v>
      </c>
      <c r="K28" s="13">
        <f>D28*G28*J28*F28</f>
        <v>0</v>
      </c>
      <c r="L28" s="79"/>
    </row>
    <row r="29" spans="1:14" x14ac:dyDescent="0.2">
      <c r="J29" s="62" t="s">
        <v>53</v>
      </c>
      <c r="K29" s="13">
        <f>SUM(K24:K28)</f>
        <v>0</v>
      </c>
      <c r="L29" s="79"/>
    </row>
    <row r="30" spans="1:14" x14ac:dyDescent="0.2">
      <c r="C30" s="14"/>
      <c r="D30" s="14"/>
      <c r="E30" s="14"/>
      <c r="F30" s="14"/>
      <c r="G30" s="14"/>
      <c r="H30" s="14"/>
      <c r="I30" s="14"/>
      <c r="J30" s="17" t="s">
        <v>54</v>
      </c>
      <c r="K30" s="16">
        <f>K29*7.48</f>
        <v>0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K31" s="17"/>
      <c r="L31" s="17"/>
    </row>
    <row r="32" spans="1:14" x14ac:dyDescent="0.2">
      <c r="A32" s="77" t="s">
        <v>55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9" t="s">
        <v>51</v>
      </c>
    </row>
    <row r="33" spans="1:14" x14ac:dyDescent="0.2">
      <c r="A33" s="76" t="s">
        <v>56</v>
      </c>
      <c r="B33" s="76"/>
      <c r="C33" s="76"/>
      <c r="D33" s="76"/>
      <c r="E33" s="76"/>
      <c r="F33" s="76"/>
      <c r="G33" s="76"/>
      <c r="H33" s="76"/>
      <c r="I33" s="76"/>
      <c r="J33" s="76"/>
      <c r="K33" s="32"/>
      <c r="L33" s="20"/>
    </row>
    <row r="34" spans="1:14" x14ac:dyDescent="0.2">
      <c r="A34" s="81" t="s">
        <v>57</v>
      </c>
      <c r="B34" s="81"/>
      <c r="C34" s="81"/>
      <c r="D34" s="81"/>
      <c r="E34" s="81"/>
      <c r="F34" s="81"/>
      <c r="G34" s="81"/>
      <c r="H34" s="81"/>
      <c r="I34" s="81"/>
      <c r="J34" s="81"/>
      <c r="K34" s="32"/>
      <c r="L34" s="20"/>
    </row>
    <row r="35" spans="1:14" ht="25.5" customHeight="1" x14ac:dyDescent="0.2">
      <c r="A35" s="76" t="s">
        <v>58</v>
      </c>
      <c r="B35" s="76"/>
      <c r="C35" s="76"/>
      <c r="D35" s="76"/>
      <c r="E35" s="76"/>
      <c r="F35" s="76"/>
      <c r="G35" s="76"/>
      <c r="H35" s="76"/>
      <c r="I35" s="76"/>
      <c r="J35" s="76"/>
      <c r="K35" s="33">
        <f>K33-K34</f>
        <v>0</v>
      </c>
      <c r="L35" s="20"/>
    </row>
    <row r="36" spans="1:14" x14ac:dyDescent="0.2">
      <c r="C36" s="14"/>
      <c r="D36" s="14"/>
      <c r="E36" s="14"/>
      <c r="F36" s="14"/>
      <c r="G36" s="14"/>
      <c r="H36" s="14"/>
      <c r="I36" s="14"/>
      <c r="K36" s="17"/>
      <c r="L36" s="17"/>
    </row>
    <row r="37" spans="1:14" x14ac:dyDescent="0.2">
      <c r="A37" s="77" t="s">
        <v>59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9" t="s">
        <v>51</v>
      </c>
    </row>
    <row r="38" spans="1:14" ht="25.5" customHeight="1" x14ac:dyDescent="0.2">
      <c r="A38" s="76" t="s">
        <v>60</v>
      </c>
      <c r="B38" s="76"/>
      <c r="C38" s="76"/>
      <c r="D38" s="76"/>
      <c r="E38" s="76"/>
      <c r="F38" s="76"/>
      <c r="G38" s="76"/>
      <c r="H38" s="76"/>
      <c r="I38" s="76"/>
      <c r="J38" s="76"/>
      <c r="K38" s="32"/>
      <c r="L38" s="20"/>
    </row>
    <row r="39" spans="1:14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2" t="s">
        <v>61</v>
      </c>
      <c r="K39" s="34">
        <f>IF(K38&gt;3.6,3.6,K38)</f>
        <v>0</v>
      </c>
      <c r="L39" s="20"/>
    </row>
    <row r="40" spans="1:14" x14ac:dyDescent="0.2">
      <c r="A40" s="81" t="s">
        <v>62</v>
      </c>
      <c r="B40" s="81"/>
      <c r="C40" s="81"/>
      <c r="D40" s="81"/>
      <c r="E40" s="81"/>
      <c r="F40" s="81"/>
      <c r="G40" s="81"/>
      <c r="H40" s="81"/>
      <c r="I40" s="81"/>
      <c r="J40" s="81" t="s">
        <v>62</v>
      </c>
      <c r="K40" s="32"/>
      <c r="L40" s="20"/>
    </row>
    <row r="41" spans="1:14" x14ac:dyDescent="0.2">
      <c r="A41" s="81" t="s">
        <v>63</v>
      </c>
      <c r="B41" s="81"/>
      <c r="C41" s="81"/>
      <c r="D41" s="81"/>
      <c r="E41" s="81"/>
      <c r="F41" s="81"/>
      <c r="G41" s="81"/>
      <c r="H41" s="81"/>
      <c r="I41" s="81"/>
      <c r="J41" s="81"/>
      <c r="K41" s="34">
        <f>K39*K40*6/12</f>
        <v>0</v>
      </c>
      <c r="L41" s="20"/>
    </row>
    <row r="42" spans="1:14" ht="13.5" customHeight="1" x14ac:dyDescent="0.2">
      <c r="A42" s="63"/>
      <c r="B42" s="62"/>
      <c r="C42" s="62"/>
      <c r="D42" s="62"/>
      <c r="E42" s="62"/>
      <c r="F42" s="62"/>
      <c r="G42" s="62"/>
      <c r="H42" s="62"/>
      <c r="I42" s="62"/>
      <c r="J42" s="17" t="s">
        <v>64</v>
      </c>
      <c r="K42" s="35">
        <f>K41*7.48</f>
        <v>0</v>
      </c>
      <c r="L42" s="20"/>
    </row>
    <row r="44" spans="1:14" ht="15.75" x14ac:dyDescent="0.25">
      <c r="A44" s="31" t="s">
        <v>65</v>
      </c>
      <c r="C44" s="2"/>
      <c r="N44" s="14" t="s">
        <v>40</v>
      </c>
    </row>
    <row r="45" spans="1:14" x14ac:dyDescent="0.2">
      <c r="A45" s="77" t="s">
        <v>41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</row>
    <row r="46" spans="1:14" s="4" customFormat="1" ht="25.5" x14ac:dyDescent="0.2">
      <c r="A46" s="18" t="s">
        <v>42</v>
      </c>
      <c r="B46" s="82" t="s">
        <v>43</v>
      </c>
      <c r="C46" s="82"/>
      <c r="D46" s="9" t="s">
        <v>10</v>
      </c>
      <c r="E46" s="9" t="s">
        <v>44</v>
      </c>
      <c r="F46" s="9" t="s">
        <v>45</v>
      </c>
      <c r="G46" s="9" t="s">
        <v>46</v>
      </c>
      <c r="H46" s="9" t="s">
        <v>47</v>
      </c>
      <c r="I46" s="9" t="s">
        <v>48</v>
      </c>
      <c r="J46" s="9" t="s">
        <v>49</v>
      </c>
      <c r="K46" s="9" t="s">
        <v>50</v>
      </c>
      <c r="L46" s="9" t="s">
        <v>51</v>
      </c>
    </row>
    <row r="47" spans="1:14" ht="12.75" customHeight="1" x14ac:dyDescent="0.2">
      <c r="A47" s="3">
        <v>1</v>
      </c>
      <c r="B47" s="80"/>
      <c r="C47" s="80"/>
      <c r="D47" s="10"/>
      <c r="E47" s="15" t="s">
        <v>52</v>
      </c>
      <c r="F47" s="24" cm="1">
        <f t="array" ref="F47">_xlfn.IFS(E47="above invert",0.5,E47="below invert",1,E47="ponding",1,E47=" ",0)</f>
        <v>0</v>
      </c>
      <c r="G47" s="11"/>
      <c r="H47" s="10"/>
      <c r="I47" s="10"/>
      <c r="J47" s="12">
        <f>H47*I47</f>
        <v>0</v>
      </c>
      <c r="K47" s="13">
        <f>D47*G47*J47*F47</f>
        <v>0</v>
      </c>
      <c r="L47" s="79"/>
    </row>
    <row r="48" spans="1:14" x14ac:dyDescent="0.2">
      <c r="A48" s="3">
        <v>2</v>
      </c>
      <c r="B48" s="80"/>
      <c r="C48" s="80"/>
      <c r="D48" s="10"/>
      <c r="E48" s="15" t="s">
        <v>52</v>
      </c>
      <c r="F48" s="24" cm="1">
        <f t="array" ref="F48">_xlfn.IFS(E48="above invert",0.5,E48="below invert",1,E48="ponding",1,E48=" ",0)</f>
        <v>0</v>
      </c>
      <c r="G48" s="11"/>
      <c r="H48" s="10"/>
      <c r="I48" s="10"/>
      <c r="J48" s="12">
        <f t="shared" ref="J48:J51" si="1">H48*I48</f>
        <v>0</v>
      </c>
      <c r="K48" s="13">
        <f>D48*G48*J48*F48</f>
        <v>0</v>
      </c>
      <c r="L48" s="79"/>
    </row>
    <row r="49" spans="1:12" x14ac:dyDescent="0.2">
      <c r="A49" s="3">
        <v>3</v>
      </c>
      <c r="B49" s="80"/>
      <c r="C49" s="80"/>
      <c r="D49" s="10"/>
      <c r="E49" s="15" t="s">
        <v>52</v>
      </c>
      <c r="F49" s="24" cm="1">
        <f t="array" ref="F49">_xlfn.IFS(E49="above invert",0.5,E49="below invert",1,E49="ponding",1,E49=" ",0)</f>
        <v>0</v>
      </c>
      <c r="G49" s="11"/>
      <c r="H49" s="10"/>
      <c r="I49" s="10"/>
      <c r="J49" s="12">
        <f t="shared" si="1"/>
        <v>0</v>
      </c>
      <c r="K49" s="13">
        <f>D49*G49*J49*F49</f>
        <v>0</v>
      </c>
      <c r="L49" s="79"/>
    </row>
    <row r="50" spans="1:12" x14ac:dyDescent="0.2">
      <c r="A50" s="3">
        <v>4</v>
      </c>
      <c r="B50" s="80"/>
      <c r="C50" s="80"/>
      <c r="D50" s="10"/>
      <c r="E50" s="15" t="s">
        <v>52</v>
      </c>
      <c r="F50" s="24" cm="1">
        <f t="array" ref="F50">_xlfn.IFS(E50="above invert",0.5,E50="below invert",1,E50="ponding",1,E50=" ",0)</f>
        <v>0</v>
      </c>
      <c r="G50" s="11"/>
      <c r="H50" s="10"/>
      <c r="I50" s="10"/>
      <c r="J50" s="12">
        <f t="shared" si="1"/>
        <v>0</v>
      </c>
      <c r="K50" s="13">
        <f>D50*G50*J50*F50</f>
        <v>0</v>
      </c>
      <c r="L50" s="79"/>
    </row>
    <row r="51" spans="1:12" x14ac:dyDescent="0.2">
      <c r="A51" s="3">
        <v>5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0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J52" s="62" t="s">
        <v>53</v>
      </c>
      <c r="K52" s="13">
        <f>SUM(K47:K51)</f>
        <v>0</v>
      </c>
      <c r="L52" s="79"/>
    </row>
    <row r="53" spans="1:12" x14ac:dyDescent="0.2">
      <c r="C53" s="14"/>
      <c r="D53" s="14"/>
      <c r="E53" s="14"/>
      <c r="F53" s="14"/>
      <c r="G53" s="14"/>
      <c r="H53" s="14"/>
      <c r="I53" s="14"/>
      <c r="J53" s="17" t="s">
        <v>54</v>
      </c>
      <c r="K53" s="16">
        <f>K52*7.48</f>
        <v>0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K54" s="17"/>
      <c r="L54" s="17"/>
    </row>
    <row r="55" spans="1:12" x14ac:dyDescent="0.2">
      <c r="A55" s="77" t="s">
        <v>55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9" t="s">
        <v>51</v>
      </c>
    </row>
    <row r="56" spans="1:12" x14ac:dyDescent="0.2">
      <c r="A56" s="76" t="s">
        <v>56</v>
      </c>
      <c r="B56" s="76"/>
      <c r="C56" s="76"/>
      <c r="D56" s="76"/>
      <c r="E56" s="76"/>
      <c r="F56" s="76"/>
      <c r="G56" s="76"/>
      <c r="H56" s="76"/>
      <c r="I56" s="76"/>
      <c r="J56" s="76"/>
      <c r="K56" s="36"/>
      <c r="L56" s="20"/>
    </row>
    <row r="57" spans="1:12" x14ac:dyDescent="0.2">
      <c r="A57" s="81" t="s">
        <v>57</v>
      </c>
      <c r="B57" s="81"/>
      <c r="C57" s="81"/>
      <c r="D57" s="81"/>
      <c r="E57" s="81"/>
      <c r="F57" s="81"/>
      <c r="G57" s="81"/>
      <c r="H57" s="81"/>
      <c r="I57" s="81"/>
      <c r="J57" s="81"/>
      <c r="K57" s="36"/>
      <c r="L57" s="20"/>
    </row>
    <row r="58" spans="1:12" ht="25.5" customHeight="1" x14ac:dyDescent="0.2">
      <c r="A58" s="76" t="s">
        <v>58</v>
      </c>
      <c r="B58" s="76"/>
      <c r="C58" s="76"/>
      <c r="D58" s="76"/>
      <c r="E58" s="76"/>
      <c r="F58" s="76"/>
      <c r="G58" s="76"/>
      <c r="H58" s="76"/>
      <c r="I58" s="76"/>
      <c r="J58" s="76"/>
      <c r="K58" s="33">
        <f>K56-K57</f>
        <v>0</v>
      </c>
      <c r="L58" s="20"/>
    </row>
    <row r="59" spans="1:12" x14ac:dyDescent="0.2">
      <c r="C59" s="14"/>
      <c r="D59" s="14"/>
      <c r="E59" s="14"/>
      <c r="F59" s="14"/>
      <c r="G59" s="14"/>
      <c r="H59" s="14"/>
      <c r="I59" s="14"/>
      <c r="K59" s="17"/>
      <c r="L59" s="17"/>
    </row>
    <row r="60" spans="1:12" x14ac:dyDescent="0.2">
      <c r="A60" s="77" t="s">
        <v>59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9" t="s">
        <v>51</v>
      </c>
    </row>
    <row r="61" spans="1:12" ht="25.5" customHeight="1" x14ac:dyDescent="0.2">
      <c r="A61" s="76" t="s">
        <v>60</v>
      </c>
      <c r="B61" s="76"/>
      <c r="C61" s="76"/>
      <c r="D61" s="76"/>
      <c r="E61" s="76"/>
      <c r="F61" s="76"/>
      <c r="G61" s="76"/>
      <c r="H61" s="76"/>
      <c r="I61" s="76"/>
      <c r="J61" s="76"/>
      <c r="K61" s="32"/>
      <c r="L61" s="20"/>
    </row>
    <row r="62" spans="1:12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2" t="s">
        <v>61</v>
      </c>
      <c r="K62" s="34">
        <f>IF(K61&gt;3.6,3.6,K61)</f>
        <v>0</v>
      </c>
      <c r="L62" s="20"/>
    </row>
    <row r="63" spans="1:12" x14ac:dyDescent="0.2">
      <c r="A63" s="81" t="s">
        <v>62</v>
      </c>
      <c r="B63" s="81"/>
      <c r="C63" s="81"/>
      <c r="D63" s="81"/>
      <c r="E63" s="81"/>
      <c r="F63" s="81"/>
      <c r="G63" s="81"/>
      <c r="H63" s="81"/>
      <c r="I63" s="81"/>
      <c r="J63" s="81" t="s">
        <v>62</v>
      </c>
      <c r="K63" s="36"/>
      <c r="L63" s="20"/>
    </row>
    <row r="64" spans="1:12" x14ac:dyDescent="0.2">
      <c r="A64" s="81" t="s">
        <v>63</v>
      </c>
      <c r="B64" s="81"/>
      <c r="C64" s="81"/>
      <c r="D64" s="81"/>
      <c r="E64" s="81"/>
      <c r="F64" s="81"/>
      <c r="G64" s="81"/>
      <c r="H64" s="81"/>
      <c r="I64" s="81"/>
      <c r="J64" s="81"/>
      <c r="K64" s="34">
        <f>K62*K63*6/12</f>
        <v>0</v>
      </c>
      <c r="L64" s="20"/>
    </row>
    <row r="65" spans="1:14" ht="13.5" customHeight="1" x14ac:dyDescent="0.2">
      <c r="A65" s="63"/>
      <c r="B65" s="62"/>
      <c r="C65" s="62"/>
      <c r="D65" s="62"/>
      <c r="E65" s="62"/>
      <c r="F65" s="62"/>
      <c r="G65" s="62"/>
      <c r="H65" s="62"/>
      <c r="I65" s="62"/>
      <c r="J65" s="17" t="s">
        <v>64</v>
      </c>
      <c r="K65" s="35">
        <f>K64*7.48</f>
        <v>0</v>
      </c>
      <c r="L65" s="20"/>
    </row>
    <row r="67" spans="1:14" ht="15.75" x14ac:dyDescent="0.25">
      <c r="A67" s="31" t="s">
        <v>66</v>
      </c>
      <c r="C67" s="2"/>
      <c r="N67" s="14" t="s">
        <v>40</v>
      </c>
    </row>
    <row r="68" spans="1:14" x14ac:dyDescent="0.2">
      <c r="A68" s="77" t="s">
        <v>41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</row>
    <row r="69" spans="1:14" s="4" customFormat="1" ht="25.5" x14ac:dyDescent="0.2">
      <c r="A69" s="18" t="s">
        <v>42</v>
      </c>
      <c r="B69" s="82" t="s">
        <v>43</v>
      </c>
      <c r="C69" s="82"/>
      <c r="D69" s="9" t="s">
        <v>10</v>
      </c>
      <c r="E69" s="9" t="s">
        <v>44</v>
      </c>
      <c r="F69" s="9" t="s">
        <v>45</v>
      </c>
      <c r="G69" s="9" t="s">
        <v>46</v>
      </c>
      <c r="H69" s="9" t="s">
        <v>47</v>
      </c>
      <c r="I69" s="9" t="s">
        <v>48</v>
      </c>
      <c r="J69" s="9" t="s">
        <v>49</v>
      </c>
      <c r="K69" s="9" t="s">
        <v>50</v>
      </c>
      <c r="L69" s="9" t="s">
        <v>51</v>
      </c>
    </row>
    <row r="70" spans="1:14" ht="12.75" customHeight="1" x14ac:dyDescent="0.2">
      <c r="A70" s="3">
        <v>1</v>
      </c>
      <c r="B70" s="80"/>
      <c r="C70" s="80"/>
      <c r="D70" s="10"/>
      <c r="E70" s="15" t="s">
        <v>52</v>
      </c>
      <c r="F70" s="24" cm="1">
        <f t="array" ref="F70">_xlfn.IFS(E70="above invert",0.5,E70="below invert",1,E70="ponding",1,E70=" ",0)</f>
        <v>0</v>
      </c>
      <c r="G70" s="11"/>
      <c r="H70" s="10"/>
      <c r="I70" s="10"/>
      <c r="J70" s="12">
        <f>H70*I70</f>
        <v>0</v>
      </c>
      <c r="K70" s="13">
        <f>D70*G70*J70*F70</f>
        <v>0</v>
      </c>
      <c r="L70" s="79"/>
    </row>
    <row r="71" spans="1:14" x14ac:dyDescent="0.2">
      <c r="A71" s="3">
        <v>2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 t="shared" ref="J71:J74" si="2">H71*I71</f>
        <v>0</v>
      </c>
      <c r="K71" s="13">
        <f>D71*G71*J71*F71</f>
        <v>0</v>
      </c>
      <c r="L71" s="79"/>
    </row>
    <row r="72" spans="1:14" x14ac:dyDescent="0.2">
      <c r="A72" s="3">
        <v>3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si="2"/>
        <v>0</v>
      </c>
      <c r="K72" s="13">
        <f>D72*G72*J72*F72</f>
        <v>0</v>
      </c>
      <c r="L72" s="79"/>
    </row>
    <row r="73" spans="1:14" x14ac:dyDescent="0.2">
      <c r="A73" s="3">
        <v>4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5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0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J75" s="62" t="s">
        <v>53</v>
      </c>
      <c r="K75" s="13">
        <f>SUM(K70:K74)</f>
        <v>0</v>
      </c>
      <c r="L75" s="79"/>
    </row>
    <row r="76" spans="1:14" x14ac:dyDescent="0.2">
      <c r="C76" s="14"/>
      <c r="D76" s="14"/>
      <c r="E76" s="14"/>
      <c r="F76" s="14"/>
      <c r="G76" s="14"/>
      <c r="H76" s="14"/>
      <c r="I76" s="14"/>
      <c r="J76" s="17" t="s">
        <v>54</v>
      </c>
      <c r="K76" s="16">
        <f>K75*7.48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K77" s="17"/>
      <c r="L77" s="17"/>
    </row>
    <row r="78" spans="1:14" x14ac:dyDescent="0.2">
      <c r="A78" s="77" t="s">
        <v>55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9" t="s">
        <v>51</v>
      </c>
    </row>
    <row r="79" spans="1:14" x14ac:dyDescent="0.2">
      <c r="A79" s="76" t="s">
        <v>56</v>
      </c>
      <c r="B79" s="76"/>
      <c r="C79" s="76"/>
      <c r="D79" s="76"/>
      <c r="E79" s="76"/>
      <c r="F79" s="76"/>
      <c r="G79" s="76"/>
      <c r="H79" s="76"/>
      <c r="I79" s="76"/>
      <c r="J79" s="76"/>
      <c r="K79" s="32"/>
      <c r="L79" s="20"/>
    </row>
    <row r="80" spans="1:14" x14ac:dyDescent="0.2">
      <c r="A80" s="81" t="s">
        <v>57</v>
      </c>
      <c r="B80" s="81"/>
      <c r="C80" s="81"/>
      <c r="D80" s="81"/>
      <c r="E80" s="81"/>
      <c r="F80" s="81"/>
      <c r="G80" s="81"/>
      <c r="H80" s="81"/>
      <c r="I80" s="81"/>
      <c r="J80" s="81"/>
      <c r="K80" s="32"/>
      <c r="L80" s="20"/>
    </row>
    <row r="81" spans="1:14" ht="25.5" customHeight="1" x14ac:dyDescent="0.2">
      <c r="A81" s="76" t="s">
        <v>58</v>
      </c>
      <c r="B81" s="76"/>
      <c r="C81" s="76"/>
      <c r="D81" s="76"/>
      <c r="E81" s="76"/>
      <c r="F81" s="76"/>
      <c r="G81" s="76"/>
      <c r="H81" s="76"/>
      <c r="I81" s="76"/>
      <c r="J81" s="76"/>
      <c r="K81" s="33">
        <f>K79-K80</f>
        <v>0</v>
      </c>
      <c r="L81" s="20"/>
    </row>
    <row r="82" spans="1:14" x14ac:dyDescent="0.2">
      <c r="C82" s="14"/>
      <c r="D82" s="14"/>
      <c r="E82" s="14"/>
      <c r="F82" s="14"/>
      <c r="G82" s="14"/>
      <c r="H82" s="14"/>
      <c r="I82" s="14"/>
      <c r="K82" s="17"/>
      <c r="L82" s="17"/>
    </row>
    <row r="83" spans="1:14" x14ac:dyDescent="0.2">
      <c r="A83" s="77" t="s">
        <v>59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9" t="s">
        <v>51</v>
      </c>
    </row>
    <row r="84" spans="1:14" ht="25.5" customHeight="1" x14ac:dyDescent="0.2">
      <c r="A84" s="76" t="s">
        <v>60</v>
      </c>
      <c r="B84" s="76"/>
      <c r="C84" s="76"/>
      <c r="D84" s="76"/>
      <c r="E84" s="76"/>
      <c r="F84" s="76"/>
      <c r="G84" s="76"/>
      <c r="H84" s="76"/>
      <c r="I84" s="76"/>
      <c r="J84" s="76"/>
      <c r="K84" s="32"/>
      <c r="L84" s="20"/>
    </row>
    <row r="85" spans="1:14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2" t="s">
        <v>61</v>
      </c>
      <c r="K85" s="34">
        <f>IF(K84&gt;3.6,3.6,K84)</f>
        <v>0</v>
      </c>
      <c r="L85" s="20"/>
    </row>
    <row r="86" spans="1:14" x14ac:dyDescent="0.2">
      <c r="A86" s="81" t="s">
        <v>62</v>
      </c>
      <c r="B86" s="81"/>
      <c r="C86" s="81"/>
      <c r="D86" s="81"/>
      <c r="E86" s="81"/>
      <c r="F86" s="81"/>
      <c r="G86" s="81"/>
      <c r="H86" s="81"/>
      <c r="I86" s="81"/>
      <c r="J86" s="81" t="s">
        <v>62</v>
      </c>
      <c r="K86" s="32"/>
      <c r="L86" s="20"/>
    </row>
    <row r="87" spans="1:14" x14ac:dyDescent="0.2">
      <c r="A87" s="81" t="s">
        <v>63</v>
      </c>
      <c r="B87" s="81"/>
      <c r="C87" s="81"/>
      <c r="D87" s="81"/>
      <c r="E87" s="81"/>
      <c r="F87" s="81"/>
      <c r="G87" s="81"/>
      <c r="H87" s="81"/>
      <c r="I87" s="81"/>
      <c r="J87" s="81"/>
      <c r="K87" s="34">
        <f>K85*K86*6/12</f>
        <v>0</v>
      </c>
      <c r="L87" s="20"/>
    </row>
    <row r="88" spans="1:14" ht="13.5" customHeight="1" x14ac:dyDescent="0.2">
      <c r="A88" s="63"/>
      <c r="B88" s="62"/>
      <c r="C88" s="62"/>
      <c r="D88" s="62"/>
      <c r="E88" s="62"/>
      <c r="F88" s="62"/>
      <c r="G88" s="62"/>
      <c r="H88" s="62"/>
      <c r="I88" s="62"/>
      <c r="J88" s="17" t="s">
        <v>64</v>
      </c>
      <c r="K88" s="35">
        <f>K87*7.48</f>
        <v>0</v>
      </c>
      <c r="L88" s="20"/>
    </row>
    <row r="90" spans="1:14" ht="15.75" x14ac:dyDescent="0.25">
      <c r="A90" s="31" t="s">
        <v>67</v>
      </c>
      <c r="C90" s="2"/>
      <c r="N90" s="14" t="s">
        <v>40</v>
      </c>
    </row>
    <row r="91" spans="1:14" x14ac:dyDescent="0.2">
      <c r="A91" s="77" t="s">
        <v>41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</row>
    <row r="92" spans="1:14" s="4" customFormat="1" ht="25.5" x14ac:dyDescent="0.2">
      <c r="A92" s="18" t="s">
        <v>42</v>
      </c>
      <c r="B92" s="82" t="s">
        <v>43</v>
      </c>
      <c r="C92" s="82"/>
      <c r="D92" s="9" t="s">
        <v>10</v>
      </c>
      <c r="E92" s="9" t="s">
        <v>44</v>
      </c>
      <c r="F92" s="9" t="s">
        <v>45</v>
      </c>
      <c r="G92" s="9" t="s">
        <v>46</v>
      </c>
      <c r="H92" s="9" t="s">
        <v>47</v>
      </c>
      <c r="I92" s="9" t="s">
        <v>48</v>
      </c>
      <c r="J92" s="9" t="s">
        <v>49</v>
      </c>
      <c r="K92" s="9" t="s">
        <v>50</v>
      </c>
      <c r="L92" s="9" t="s">
        <v>51</v>
      </c>
    </row>
    <row r="93" spans="1:14" ht="12.75" customHeight="1" x14ac:dyDescent="0.2">
      <c r="A93" s="3">
        <v>1</v>
      </c>
      <c r="B93" s="80"/>
      <c r="C93" s="80"/>
      <c r="D93" s="10"/>
      <c r="E93" s="15" t="s">
        <v>52</v>
      </c>
      <c r="F93" s="24" cm="1">
        <f t="array" ref="F93">_xlfn.IFS(E93="above invert",0.5,E93="below invert",1,E93="ponding",1,E93=" ",0)</f>
        <v>0</v>
      </c>
      <c r="G93" s="11"/>
      <c r="H93" s="10"/>
      <c r="I93" s="10"/>
      <c r="J93" s="12">
        <f>H93*I93</f>
        <v>0</v>
      </c>
      <c r="K93" s="13">
        <f>D93*G93*J93*F93</f>
        <v>0</v>
      </c>
      <c r="L93" s="79"/>
    </row>
    <row r="94" spans="1:14" x14ac:dyDescent="0.2">
      <c r="A94" s="3">
        <v>2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 t="shared" ref="J94:J97" si="3">H94*I94</f>
        <v>0</v>
      </c>
      <c r="K94" s="13">
        <f>D94*G94*J94*F94</f>
        <v>0</v>
      </c>
      <c r="L94" s="79"/>
    </row>
    <row r="95" spans="1:14" x14ac:dyDescent="0.2">
      <c r="A95" s="3">
        <v>3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si="3"/>
        <v>0</v>
      </c>
      <c r="K95" s="13">
        <f>D95*G95*J95*F95</f>
        <v>0</v>
      </c>
      <c r="L95" s="79"/>
    </row>
    <row r="96" spans="1:14" x14ac:dyDescent="0.2">
      <c r="A96" s="3">
        <v>4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5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0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J98" s="62" t="s">
        <v>53</v>
      </c>
      <c r="K98" s="13">
        <f>SUM(K93:K97)</f>
        <v>0</v>
      </c>
      <c r="L98" s="79"/>
    </row>
    <row r="99" spans="1:12" x14ac:dyDescent="0.2">
      <c r="C99" s="14"/>
      <c r="D99" s="14"/>
      <c r="E99" s="14"/>
      <c r="F99" s="14"/>
      <c r="G99" s="14"/>
      <c r="H99" s="14"/>
      <c r="I99" s="14"/>
      <c r="J99" s="17" t="s">
        <v>54</v>
      </c>
      <c r="K99" s="16">
        <f>K98*7.48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K100" s="17"/>
      <c r="L100" s="17"/>
    </row>
    <row r="101" spans="1:12" x14ac:dyDescent="0.2">
      <c r="A101" s="77" t="s">
        <v>55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9" t="s">
        <v>51</v>
      </c>
    </row>
    <row r="102" spans="1:12" x14ac:dyDescent="0.2">
      <c r="A102" s="76" t="s">
        <v>56</v>
      </c>
      <c r="B102" s="76"/>
      <c r="C102" s="76"/>
      <c r="D102" s="76"/>
      <c r="E102" s="76"/>
      <c r="F102" s="76"/>
      <c r="G102" s="76"/>
      <c r="H102" s="76"/>
      <c r="I102" s="76"/>
      <c r="J102" s="76"/>
      <c r="K102" s="32"/>
      <c r="L102" s="20"/>
    </row>
    <row r="103" spans="1:12" x14ac:dyDescent="0.2">
      <c r="A103" s="81" t="s">
        <v>57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32"/>
      <c r="L103" s="20"/>
    </row>
    <row r="104" spans="1:12" ht="25.5" customHeight="1" x14ac:dyDescent="0.2">
      <c r="A104" s="76" t="s">
        <v>58</v>
      </c>
      <c r="B104" s="76"/>
      <c r="C104" s="76"/>
      <c r="D104" s="76"/>
      <c r="E104" s="76"/>
      <c r="F104" s="76"/>
      <c r="G104" s="76"/>
      <c r="H104" s="76"/>
      <c r="I104" s="76"/>
      <c r="J104" s="76"/>
      <c r="K104" s="33">
        <f>K102-K103</f>
        <v>0</v>
      </c>
      <c r="L104" s="20"/>
    </row>
    <row r="105" spans="1:12" x14ac:dyDescent="0.2">
      <c r="C105" s="14"/>
      <c r="D105" s="14"/>
      <c r="E105" s="14"/>
      <c r="F105" s="14"/>
      <c r="G105" s="14"/>
      <c r="H105" s="14"/>
      <c r="I105" s="14"/>
      <c r="K105" s="17"/>
      <c r="L105" s="17"/>
    </row>
    <row r="106" spans="1:12" x14ac:dyDescent="0.2">
      <c r="A106" s="77" t="s">
        <v>59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9" t="s">
        <v>51</v>
      </c>
    </row>
    <row r="107" spans="1:12" ht="25.5" customHeight="1" x14ac:dyDescent="0.2">
      <c r="A107" s="76" t="s">
        <v>60</v>
      </c>
      <c r="B107" s="76"/>
      <c r="C107" s="76"/>
      <c r="D107" s="76"/>
      <c r="E107" s="76"/>
      <c r="F107" s="76"/>
      <c r="G107" s="76"/>
      <c r="H107" s="76"/>
      <c r="I107" s="76"/>
      <c r="J107" s="76"/>
      <c r="K107" s="32"/>
      <c r="L107" s="20"/>
    </row>
    <row r="108" spans="1:12" x14ac:dyDescent="0.2">
      <c r="A108" s="63"/>
      <c r="B108" s="63"/>
      <c r="C108" s="63"/>
      <c r="D108" s="63"/>
      <c r="E108" s="63"/>
      <c r="F108" s="63"/>
      <c r="G108" s="63"/>
      <c r="H108" s="63"/>
      <c r="I108" s="63"/>
      <c r="J108" s="62" t="s">
        <v>61</v>
      </c>
      <c r="K108" s="34">
        <f>IF(K107&gt;3.6,3.6,K107)</f>
        <v>0</v>
      </c>
      <c r="L108" s="20"/>
    </row>
    <row r="109" spans="1:12" x14ac:dyDescent="0.2">
      <c r="A109" s="81" t="s">
        <v>62</v>
      </c>
      <c r="B109" s="81"/>
      <c r="C109" s="81"/>
      <c r="D109" s="81"/>
      <c r="E109" s="81"/>
      <c r="F109" s="81"/>
      <c r="G109" s="81"/>
      <c r="H109" s="81"/>
      <c r="I109" s="81"/>
      <c r="J109" s="81" t="s">
        <v>62</v>
      </c>
      <c r="K109" s="32"/>
      <c r="L109" s="20"/>
    </row>
    <row r="110" spans="1:12" x14ac:dyDescent="0.2">
      <c r="A110" s="81" t="s">
        <v>63</v>
      </c>
      <c r="B110" s="81"/>
      <c r="C110" s="81"/>
      <c r="D110" s="81"/>
      <c r="E110" s="81"/>
      <c r="F110" s="81"/>
      <c r="G110" s="81"/>
      <c r="H110" s="81"/>
      <c r="I110" s="81"/>
      <c r="J110" s="81"/>
      <c r="K110" s="34">
        <f>K108*K109*6/12</f>
        <v>0</v>
      </c>
      <c r="L110" s="20"/>
    </row>
    <row r="111" spans="1:12" ht="13.5" customHeight="1" x14ac:dyDescent="0.2">
      <c r="A111" s="63"/>
      <c r="B111" s="62"/>
      <c r="C111" s="62"/>
      <c r="D111" s="62"/>
      <c r="E111" s="62"/>
      <c r="F111" s="62"/>
      <c r="G111" s="62"/>
      <c r="H111" s="62"/>
      <c r="I111" s="62"/>
      <c r="J111" s="17" t="s">
        <v>64</v>
      </c>
      <c r="K111" s="35">
        <f>K110*7.48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</row>
    <row r="113" spans="1:14" ht="15.75" x14ac:dyDescent="0.25">
      <c r="A113" s="31" t="s">
        <v>68</v>
      </c>
      <c r="C113" s="2"/>
      <c r="N113" s="14" t="s">
        <v>40</v>
      </c>
    </row>
    <row r="114" spans="1:14" x14ac:dyDescent="0.2">
      <c r="A114" s="77" t="s">
        <v>41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</row>
    <row r="115" spans="1:14" s="4" customFormat="1" ht="25.5" x14ac:dyDescent="0.2">
      <c r="A115" s="18" t="s">
        <v>42</v>
      </c>
      <c r="B115" s="82" t="s">
        <v>43</v>
      </c>
      <c r="C115" s="82"/>
      <c r="D115" s="9" t="s">
        <v>10</v>
      </c>
      <c r="E115" s="9" t="s">
        <v>44</v>
      </c>
      <c r="F115" s="9" t="s">
        <v>45</v>
      </c>
      <c r="G115" s="9" t="s">
        <v>46</v>
      </c>
      <c r="H115" s="9" t="s">
        <v>47</v>
      </c>
      <c r="I115" s="9" t="s">
        <v>48</v>
      </c>
      <c r="J115" s="9" t="s">
        <v>49</v>
      </c>
      <c r="K115" s="9" t="s">
        <v>50</v>
      </c>
      <c r="L115" s="9" t="s">
        <v>51</v>
      </c>
    </row>
    <row r="116" spans="1:14" ht="12.75" customHeight="1" x14ac:dyDescent="0.2">
      <c r="A116" s="3">
        <v>1</v>
      </c>
      <c r="B116" s="80"/>
      <c r="C116" s="80"/>
      <c r="D116" s="10"/>
      <c r="E116" s="15" t="s">
        <v>52</v>
      </c>
      <c r="F116" s="24" cm="1">
        <f t="array" ref="F116">_xlfn.IFS(E116="above invert",0.5,E116="below invert",1,E116="ponding",1,E116=" ",0)</f>
        <v>0</v>
      </c>
      <c r="G116" s="11"/>
      <c r="H116" s="10"/>
      <c r="I116" s="10"/>
      <c r="J116" s="12">
        <f>H116*I116</f>
        <v>0</v>
      </c>
      <c r="K116" s="13">
        <f>D116*G116*J116*F116</f>
        <v>0</v>
      </c>
      <c r="L116" s="79"/>
    </row>
    <row r="117" spans="1:14" x14ac:dyDescent="0.2">
      <c r="A117" s="3">
        <v>2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 t="shared" ref="J117:J120" si="4">H117*I117</f>
        <v>0</v>
      </c>
      <c r="K117" s="13">
        <f>D117*G117*J117*F117</f>
        <v>0</v>
      </c>
      <c r="L117" s="79"/>
    </row>
    <row r="118" spans="1:14" x14ac:dyDescent="0.2">
      <c r="A118" s="3">
        <v>3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si="4"/>
        <v>0</v>
      </c>
      <c r="K118" s="13">
        <f>D118*G118*J118*F118</f>
        <v>0</v>
      </c>
      <c r="L118" s="79"/>
    </row>
    <row r="119" spans="1:14" x14ac:dyDescent="0.2">
      <c r="A119" s="3">
        <v>4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5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0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J121" s="62" t="s">
        <v>53</v>
      </c>
      <c r="K121" s="13">
        <f>SUM(K116:K120)</f>
        <v>0</v>
      </c>
      <c r="L121" s="79"/>
    </row>
    <row r="122" spans="1:14" x14ac:dyDescent="0.2">
      <c r="C122" s="14"/>
      <c r="D122" s="14"/>
      <c r="E122" s="14"/>
      <c r="F122" s="14"/>
      <c r="G122" s="14"/>
      <c r="H122" s="14"/>
      <c r="I122" s="14"/>
      <c r="J122" s="17" t="s">
        <v>54</v>
      </c>
      <c r="K122" s="16">
        <f>K121*7.48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K123" s="17"/>
      <c r="L123" s="17"/>
    </row>
    <row r="124" spans="1:14" x14ac:dyDescent="0.2">
      <c r="A124" s="77" t="s">
        <v>55</v>
      </c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9" t="s">
        <v>51</v>
      </c>
    </row>
    <row r="125" spans="1:14" x14ac:dyDescent="0.2">
      <c r="A125" s="76" t="s">
        <v>56</v>
      </c>
      <c r="B125" s="76"/>
      <c r="C125" s="76"/>
      <c r="D125" s="76"/>
      <c r="E125" s="76"/>
      <c r="F125" s="76"/>
      <c r="G125" s="76"/>
      <c r="H125" s="76"/>
      <c r="I125" s="76"/>
      <c r="J125" s="76"/>
      <c r="K125" s="32"/>
      <c r="L125" s="20"/>
    </row>
    <row r="126" spans="1:14" x14ac:dyDescent="0.2">
      <c r="A126" s="81" t="s">
        <v>57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32"/>
      <c r="L126" s="20"/>
    </row>
    <row r="127" spans="1:14" ht="25.5" customHeight="1" x14ac:dyDescent="0.2">
      <c r="A127" s="76" t="s">
        <v>58</v>
      </c>
      <c r="B127" s="76"/>
      <c r="C127" s="76"/>
      <c r="D127" s="76"/>
      <c r="E127" s="76"/>
      <c r="F127" s="76"/>
      <c r="G127" s="76"/>
      <c r="H127" s="76"/>
      <c r="I127" s="76"/>
      <c r="J127" s="76"/>
      <c r="K127" s="33">
        <f>K125-K126</f>
        <v>0</v>
      </c>
      <c r="L127" s="20"/>
    </row>
    <row r="128" spans="1:14" x14ac:dyDescent="0.2">
      <c r="C128" s="14"/>
      <c r="D128" s="14"/>
      <c r="E128" s="14"/>
      <c r="F128" s="14"/>
      <c r="G128" s="14"/>
      <c r="H128" s="14"/>
      <c r="I128" s="14"/>
      <c r="K128" s="17"/>
      <c r="L128" s="17"/>
    </row>
    <row r="129" spans="1:12" x14ac:dyDescent="0.2">
      <c r="A129" s="77" t="s">
        <v>59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9" t="s">
        <v>51</v>
      </c>
    </row>
    <row r="130" spans="1:12" ht="25.5" customHeight="1" x14ac:dyDescent="0.2">
      <c r="A130" s="76" t="s">
        <v>60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32"/>
      <c r="L130" s="20"/>
    </row>
    <row r="131" spans="1:12" x14ac:dyDescent="0.2">
      <c r="A131" s="63"/>
      <c r="B131" s="63"/>
      <c r="C131" s="63"/>
      <c r="D131" s="63"/>
      <c r="E131" s="63"/>
      <c r="F131" s="63"/>
      <c r="G131" s="63"/>
      <c r="H131" s="63"/>
      <c r="I131" s="63"/>
      <c r="J131" s="62" t="s">
        <v>61</v>
      </c>
      <c r="K131" s="34">
        <f>IF(K130&gt;3.6,3.6,K130)</f>
        <v>0</v>
      </c>
      <c r="L131" s="20"/>
    </row>
    <row r="132" spans="1:12" x14ac:dyDescent="0.2">
      <c r="A132" s="81" t="s">
        <v>62</v>
      </c>
      <c r="B132" s="81"/>
      <c r="C132" s="81"/>
      <c r="D132" s="81"/>
      <c r="E132" s="81"/>
      <c r="F132" s="81"/>
      <c r="G132" s="81"/>
      <c r="H132" s="81"/>
      <c r="I132" s="81"/>
      <c r="J132" s="81" t="s">
        <v>62</v>
      </c>
      <c r="K132" s="32"/>
      <c r="L132" s="20"/>
    </row>
    <row r="133" spans="1:12" x14ac:dyDescent="0.2">
      <c r="A133" s="81" t="s">
        <v>63</v>
      </c>
      <c r="B133" s="81"/>
      <c r="C133" s="81"/>
      <c r="D133" s="81"/>
      <c r="E133" s="81"/>
      <c r="F133" s="81"/>
      <c r="G133" s="81"/>
      <c r="H133" s="81"/>
      <c r="I133" s="81"/>
      <c r="J133" s="81"/>
      <c r="K133" s="34">
        <f>K131*K132*6/12</f>
        <v>0</v>
      </c>
      <c r="L133" s="20"/>
    </row>
    <row r="134" spans="1:12" ht="13.5" customHeight="1" x14ac:dyDescent="0.2">
      <c r="A134" s="63"/>
      <c r="B134" s="62"/>
      <c r="C134" s="62"/>
      <c r="D134" s="62"/>
      <c r="E134" s="62"/>
      <c r="F134" s="62"/>
      <c r="G134" s="62"/>
      <c r="H134" s="62"/>
      <c r="I134" s="62"/>
      <c r="J134" s="17" t="s">
        <v>64</v>
      </c>
      <c r="K134" s="35">
        <f>K133*7.48</f>
        <v>0</v>
      </c>
      <c r="L134" s="20"/>
    </row>
  </sheetData>
  <mergeCells count="104">
    <mergeCell ref="A132:J132"/>
    <mergeCell ref="A133:J133"/>
    <mergeCell ref="A124:K124"/>
    <mergeCell ref="A125:J125"/>
    <mergeCell ref="A126:J126"/>
    <mergeCell ref="A127:J127"/>
    <mergeCell ref="A129:K129"/>
    <mergeCell ref="A130:J130"/>
    <mergeCell ref="A109:J109"/>
    <mergeCell ref="A110:J110"/>
    <mergeCell ref="A114:L114"/>
    <mergeCell ref="B115:C115"/>
    <mergeCell ref="B116:C116"/>
    <mergeCell ref="L116:L122"/>
    <mergeCell ref="B117:C117"/>
    <mergeCell ref="B118:C118"/>
    <mergeCell ref="B119:C119"/>
    <mergeCell ref="B120:C120"/>
    <mergeCell ref="A101:K101"/>
    <mergeCell ref="A102:J102"/>
    <mergeCell ref="A103:J103"/>
    <mergeCell ref="A104:J104"/>
    <mergeCell ref="A106:K106"/>
    <mergeCell ref="A107:J107"/>
    <mergeCell ref="A86:J86"/>
    <mergeCell ref="A87:J87"/>
    <mergeCell ref="A91:L91"/>
    <mergeCell ref="B92:C92"/>
    <mergeCell ref="B93:C93"/>
    <mergeCell ref="L93:L99"/>
    <mergeCell ref="B94:C94"/>
    <mergeCell ref="B95:C95"/>
    <mergeCell ref="B96:C96"/>
    <mergeCell ref="B97:C97"/>
    <mergeCell ref="A78:K78"/>
    <mergeCell ref="A79:J79"/>
    <mergeCell ref="A80:J80"/>
    <mergeCell ref="A81:J81"/>
    <mergeCell ref="A83:K83"/>
    <mergeCell ref="A84:J84"/>
    <mergeCell ref="A63:J63"/>
    <mergeCell ref="A64:J64"/>
    <mergeCell ref="A68:L68"/>
    <mergeCell ref="B69:C69"/>
    <mergeCell ref="B70:C70"/>
    <mergeCell ref="L70:L76"/>
    <mergeCell ref="B71:C71"/>
    <mergeCell ref="B72:C72"/>
    <mergeCell ref="B73:C73"/>
    <mergeCell ref="B74:C74"/>
    <mergeCell ref="A55:K55"/>
    <mergeCell ref="A56:J56"/>
    <mergeCell ref="A57:J57"/>
    <mergeCell ref="A58:J58"/>
    <mergeCell ref="A60:K60"/>
    <mergeCell ref="A61:J61"/>
    <mergeCell ref="A40:J40"/>
    <mergeCell ref="A41:J41"/>
    <mergeCell ref="A45:L45"/>
    <mergeCell ref="B46:C46"/>
    <mergeCell ref="B47:C47"/>
    <mergeCell ref="L47:L53"/>
    <mergeCell ref="B48:C48"/>
    <mergeCell ref="B49:C49"/>
    <mergeCell ref="B50:C50"/>
    <mergeCell ref="B51:C51"/>
    <mergeCell ref="A32:K32"/>
    <mergeCell ref="A33:J33"/>
    <mergeCell ref="A34:J34"/>
    <mergeCell ref="A35:J35"/>
    <mergeCell ref="A37:K37"/>
    <mergeCell ref="A38:J38"/>
    <mergeCell ref="A22:L22"/>
    <mergeCell ref="B23:C23"/>
    <mergeCell ref="B24:C24"/>
    <mergeCell ref="L24:L30"/>
    <mergeCell ref="B25:C25"/>
    <mergeCell ref="B26:C26"/>
    <mergeCell ref="B27:C27"/>
    <mergeCell ref="B28:C28"/>
    <mergeCell ref="E16:F16"/>
    <mergeCell ref="G16:H16"/>
    <mergeCell ref="A17:B17"/>
    <mergeCell ref="C17:D17"/>
    <mergeCell ref="A18:B18"/>
    <mergeCell ref="C18:E18"/>
    <mergeCell ref="F18:G18"/>
    <mergeCell ref="H18:I18"/>
    <mergeCell ref="A13:B13"/>
    <mergeCell ref="A14:B14"/>
    <mergeCell ref="C14:D14"/>
    <mergeCell ref="A15:B15"/>
    <mergeCell ref="C15:D15"/>
    <mergeCell ref="A16:B16"/>
    <mergeCell ref="K2:L16"/>
    <mergeCell ref="A5:B5"/>
    <mergeCell ref="C5:I5"/>
    <mergeCell ref="A7:B7"/>
    <mergeCell ref="A8:B8"/>
    <mergeCell ref="A9:B9"/>
    <mergeCell ref="E9:I10"/>
    <mergeCell ref="A10:B10"/>
    <mergeCell ref="A11:B11"/>
    <mergeCell ref="A12:B12"/>
  </mergeCells>
  <dataValidations count="3">
    <dataValidation allowBlank="1" showInputMessage="1" showErrorMessage="1" sqref="F116:F120 J1 F24:F28 F47:F51 F70:F74 F93:F97 E9" xr:uid="{57E918F8-0587-4186-9AE9-291DD520E726}"/>
    <dataValidation type="list" allowBlank="1" showInputMessage="1" showErrorMessage="1" sqref="C7" xr:uid="{AD565642-782F-4675-9232-54988ED86FCE}">
      <formula1>"'   ,30%,60%,98%,100%"</formula1>
    </dataValidation>
    <dataValidation type="list" allowBlank="1" showInputMessage="1" showErrorMessage="1" sqref="E93:E97 E116:E120 E24:E28 E70:E74 E47:E51" xr:uid="{EE6C6DA0-20A8-42AE-85EB-722F26861634}">
      <formula1>"' ,above invert,below invert,ponding"</formula1>
    </dataValidation>
  </dataValidations>
  <pageMargins left="0.25" right="0.25" top="0.5" bottom="0.5" header="0.3" footer="0.3"/>
  <pageSetup scale="77" fitToHeight="0" orientation="landscape" verticalDpi="1200" r:id="rId1"/>
  <headerFooter>
    <oddFooter>&amp;LDate Printed: &amp;D&amp;CDesign DRC Page &amp;P of &amp;N</oddFooter>
  </headerFooter>
  <rowBreaks count="2" manualBreakCount="2">
    <brk id="43" max="11" man="1"/>
    <brk id="89" max="11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537F8-7288-4EB4-81C1-DFCECFF7F7A8}">
  <sheetPr>
    <tabColor rgb="FF00B050"/>
    <pageSetUpPr fitToPage="1"/>
  </sheetPr>
  <dimension ref="A1:O134"/>
  <sheetViews>
    <sheetView zoomScaleNormal="100" zoomScaleSheetLayoutView="80" workbookViewId="0">
      <selection activeCell="A33" sqref="A33:J33"/>
    </sheetView>
  </sheetViews>
  <sheetFormatPr defaultRowHeight="12.75" x14ac:dyDescent="0.2"/>
  <cols>
    <col min="1" max="1" width="8.140625" customWidth="1"/>
    <col min="2" max="2" width="18.7109375" customWidth="1"/>
    <col min="3" max="3" width="10.5703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6.85546875" customWidth="1"/>
    <col min="10" max="10" width="9.710937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8"/>
    </row>
    <row r="3" spans="1:15" ht="18" x14ac:dyDescent="0.25">
      <c r="A3" s="1" t="s">
        <v>6</v>
      </c>
      <c r="J3" s="22" t="s">
        <v>7</v>
      </c>
      <c r="K3" s="98"/>
      <c r="L3" s="98"/>
      <c r="N3" s="7" t="s">
        <v>8</v>
      </c>
    </row>
    <row r="4" spans="1:15" ht="15" customHeight="1" x14ac:dyDescent="0.25">
      <c r="A4" s="1"/>
      <c r="K4" s="98"/>
      <c r="L4" s="98"/>
      <c r="N4" s="70" t="s">
        <v>9</v>
      </c>
      <c r="O4" s="70" t="s">
        <v>10</v>
      </c>
    </row>
    <row r="5" spans="1:15" ht="15" customHeight="1" x14ac:dyDescent="0.25">
      <c r="A5" s="99" t="s">
        <v>11</v>
      </c>
      <c r="B5" s="99"/>
      <c r="C5" s="83"/>
      <c r="D5" s="83"/>
      <c r="E5" s="83"/>
      <c r="F5" s="83"/>
      <c r="G5" s="83"/>
      <c r="H5" s="83"/>
      <c r="I5" s="83"/>
      <c r="K5" s="98"/>
      <c r="L5" s="98"/>
      <c r="N5" s="8" t="s">
        <v>12</v>
      </c>
      <c r="O5" s="8">
        <v>0.41</v>
      </c>
    </row>
    <row r="6" spans="1:15" ht="15" customHeight="1" x14ac:dyDescent="0.25">
      <c r="A6" s="69" t="s">
        <v>13</v>
      </c>
      <c r="B6" s="69"/>
      <c r="C6" s="64"/>
      <c r="D6" s="69"/>
      <c r="E6" s="69"/>
      <c r="F6" s="69"/>
      <c r="G6" s="69"/>
      <c r="H6" s="69"/>
      <c r="I6" s="69"/>
      <c r="K6" s="98"/>
      <c r="L6" s="98"/>
      <c r="N6" s="8" t="s">
        <v>14</v>
      </c>
      <c r="O6" s="8">
        <v>0.38</v>
      </c>
    </row>
    <row r="7" spans="1:15" ht="15" customHeight="1" thickBot="1" x14ac:dyDescent="0.3">
      <c r="A7" s="94" t="s">
        <v>15</v>
      </c>
      <c r="B7" s="94"/>
      <c r="C7" s="66" t="s">
        <v>143</v>
      </c>
      <c r="D7" s="69"/>
      <c r="E7" s="48"/>
      <c r="F7" s="26"/>
      <c r="K7" s="98"/>
      <c r="L7" s="98"/>
      <c r="N7" s="8" t="s">
        <v>17</v>
      </c>
      <c r="O7" s="8">
        <v>0.28000000000000003</v>
      </c>
    </row>
    <row r="8" spans="1:15" ht="15" customHeight="1" x14ac:dyDescent="0.25">
      <c r="A8" s="94" t="s">
        <v>18</v>
      </c>
      <c r="B8" s="94"/>
      <c r="C8" s="27">
        <f>SUMIF(J24:J504,"Subtotal Constructed Volume (gallons)",K24:K504)</f>
        <v>0</v>
      </c>
      <c r="D8" s="28" t="s">
        <v>19</v>
      </c>
      <c r="E8" s="49" t="s">
        <v>20</v>
      </c>
      <c r="F8" s="50"/>
      <c r="G8" s="50"/>
      <c r="H8" s="50"/>
      <c r="I8" s="51"/>
      <c r="K8" s="98"/>
      <c r="L8" s="98"/>
      <c r="N8" s="8" t="s">
        <v>21</v>
      </c>
      <c r="O8" s="8">
        <v>0.28000000000000003</v>
      </c>
    </row>
    <row r="9" spans="1:15" ht="15" customHeight="1" x14ac:dyDescent="0.25">
      <c r="A9" s="94" t="s">
        <v>22</v>
      </c>
      <c r="B9" s="94"/>
      <c r="C9" s="27">
        <f>SUMIF(J24:J504,"Infiltration Volume (gallons)",K24:K504)</f>
        <v>0</v>
      </c>
      <c r="D9" s="28" t="s">
        <v>19</v>
      </c>
      <c r="E9" s="100" t="str">
        <f>IF(ISNUMBER('CN &amp; Runoff Volume'!AU22),IF(C10=0,"To be determined",IF(C10&lt;'CN &amp; Runoff Volume'!AU22,"WARNING! DRC does not meet the 10-yr runoff volume",IF(C10&gt;'CN &amp; Runoff Volume'!AU26,"DRC exceeds the 100-yr runoff volume - DRC will be capped to calculate MWRD Contribution","DRC is between the 10- to 100-yr runoff volume"))),"Please fill in CN &amp; Runoff Volume tab")</f>
        <v>Please fill in CN &amp; Runoff Volume tab</v>
      </c>
      <c r="F9" s="101"/>
      <c r="G9" s="101"/>
      <c r="H9" s="101"/>
      <c r="I9" s="102"/>
      <c r="K9" s="98"/>
      <c r="L9" s="98"/>
      <c r="N9" s="8" t="s">
        <v>23</v>
      </c>
      <c r="O9" s="8">
        <v>0.25</v>
      </c>
    </row>
    <row r="10" spans="1:15" ht="15" customHeight="1" thickBot="1" x14ac:dyDescent="0.3">
      <c r="A10" s="107" t="s">
        <v>24</v>
      </c>
      <c r="B10" s="108"/>
      <c r="C10" s="29">
        <f>SUM(C8:C9)</f>
        <v>0</v>
      </c>
      <c r="D10" s="30" t="s">
        <v>19</v>
      </c>
      <c r="E10" s="103"/>
      <c r="F10" s="104"/>
      <c r="G10" s="104"/>
      <c r="H10" s="104"/>
      <c r="I10" s="105"/>
      <c r="K10" s="98"/>
      <c r="L10" s="98"/>
    </row>
    <row r="11" spans="1:15" ht="15" customHeight="1" x14ac:dyDescent="0.25">
      <c r="A11" s="107" t="s">
        <v>25</v>
      </c>
      <c r="B11" s="108"/>
      <c r="C11" s="29">
        <f>IF(C10&gt;'CN &amp; Runoff Volume'!AU26,'CN &amp; Runoff Volume'!AU26,C10)</f>
        <v>0</v>
      </c>
      <c r="D11" s="53" t="s">
        <v>19</v>
      </c>
      <c r="H11" s="48"/>
      <c r="I11" s="48"/>
      <c r="J11" s="48"/>
      <c r="K11" s="98"/>
      <c r="L11" s="98"/>
      <c r="N11" s="8"/>
      <c r="O11" s="8"/>
    </row>
    <row r="12" spans="1:15" ht="15" customHeight="1" x14ac:dyDescent="0.2">
      <c r="A12" s="94" t="s">
        <v>26</v>
      </c>
      <c r="B12" s="94"/>
      <c r="C12" s="27">
        <f>C11-C8</f>
        <v>0</v>
      </c>
      <c r="J12" s="48"/>
      <c r="K12" s="98"/>
      <c r="L12" s="98"/>
    </row>
    <row r="13" spans="1:15" ht="14.25" x14ac:dyDescent="0.2">
      <c r="A13" s="95" t="s">
        <v>27</v>
      </c>
      <c r="B13" s="95"/>
      <c r="C13" s="60"/>
      <c r="D13" s="54" t="s">
        <v>28</v>
      </c>
      <c r="F13" s="60"/>
      <c r="G13" s="54" t="s">
        <v>29</v>
      </c>
      <c r="I13" s="48"/>
      <c r="J13" s="48"/>
      <c r="K13" s="98"/>
      <c r="L13" s="98"/>
    </row>
    <row r="14" spans="1:15" ht="14.25" x14ac:dyDescent="0.2">
      <c r="A14" s="96" t="s">
        <v>30</v>
      </c>
      <c r="B14" s="96"/>
      <c r="C14" s="106">
        <f>C8*C13+C12*F13</f>
        <v>0</v>
      </c>
      <c r="D14" s="106"/>
      <c r="E14" s="26"/>
      <c r="F14" s="59"/>
      <c r="G14" s="59"/>
      <c r="H14" s="59"/>
      <c r="I14" s="59"/>
      <c r="K14" s="98"/>
      <c r="L14" s="98"/>
    </row>
    <row r="15" spans="1:15" ht="14.25" x14ac:dyDescent="0.2">
      <c r="A15" s="86" t="s">
        <v>31</v>
      </c>
      <c r="B15" s="86"/>
      <c r="C15" s="92">
        <v>0</v>
      </c>
      <c r="D15" s="92"/>
      <c r="E15" s="5" t="s">
        <v>141</v>
      </c>
      <c r="F15" s="59"/>
      <c r="G15" s="59"/>
      <c r="H15" s="59"/>
      <c r="I15" s="59"/>
      <c r="K15" s="98"/>
      <c r="L15" s="98"/>
    </row>
    <row r="16" spans="1:15" ht="14.25" x14ac:dyDescent="0.2">
      <c r="A16" s="87" t="s">
        <v>32</v>
      </c>
      <c r="B16" s="87"/>
      <c r="C16" s="61"/>
      <c r="D16" t="s">
        <v>33</v>
      </c>
      <c r="E16" s="90" t="s">
        <v>34</v>
      </c>
      <c r="F16" s="90"/>
      <c r="G16" s="91" t="s">
        <v>35</v>
      </c>
      <c r="H16" s="91"/>
      <c r="K16" s="98"/>
      <c r="L16" s="98"/>
    </row>
    <row r="17" spans="1:14" ht="30" customHeight="1" x14ac:dyDescent="0.25">
      <c r="A17" s="88" t="s">
        <v>36</v>
      </c>
      <c r="B17" s="88"/>
      <c r="C17" s="84">
        <f>MIN(C14,C15*C16,G16)</f>
        <v>0</v>
      </c>
      <c r="D17" s="85"/>
      <c r="K17" s="68"/>
      <c r="L17" s="68"/>
    </row>
    <row r="18" spans="1:14" ht="29.25" customHeight="1" x14ac:dyDescent="0.2">
      <c r="A18" s="89" t="s">
        <v>37</v>
      </c>
      <c r="B18" s="89"/>
      <c r="C18" s="93"/>
      <c r="D18" s="93"/>
      <c r="E18" s="93"/>
      <c r="F18" s="89" t="s">
        <v>38</v>
      </c>
      <c r="G18" s="89"/>
      <c r="H18" s="78"/>
      <c r="I18" s="78"/>
      <c r="K18" s="68"/>
      <c r="L18" s="68"/>
    </row>
    <row r="19" spans="1:14" ht="13.5" customHeight="1" x14ac:dyDescent="0.2">
      <c r="K19" s="68"/>
      <c r="L19" s="68"/>
    </row>
    <row r="20" spans="1:14" x14ac:dyDescent="0.2">
      <c r="K20" s="68"/>
      <c r="L20" s="68"/>
    </row>
    <row r="21" spans="1:14" ht="15" x14ac:dyDescent="0.25">
      <c r="A21" s="31" t="s">
        <v>39</v>
      </c>
      <c r="N21" s="14" t="s">
        <v>40</v>
      </c>
    </row>
    <row r="22" spans="1:14" x14ac:dyDescent="0.2">
      <c r="A22" s="77" t="s">
        <v>41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</row>
    <row r="23" spans="1:14" s="4" customFormat="1" ht="25.5" x14ac:dyDescent="0.2">
      <c r="A23" s="18" t="s">
        <v>42</v>
      </c>
      <c r="B23" s="82" t="s">
        <v>43</v>
      </c>
      <c r="C23" s="82"/>
      <c r="D23" s="9" t="s">
        <v>10</v>
      </c>
      <c r="E23" s="9" t="s">
        <v>44</v>
      </c>
      <c r="F23" s="9" t="s">
        <v>45</v>
      </c>
      <c r="G23" s="9" t="s">
        <v>46</v>
      </c>
      <c r="H23" s="9" t="s">
        <v>47</v>
      </c>
      <c r="I23" s="9" t="s">
        <v>48</v>
      </c>
      <c r="J23" s="9" t="s">
        <v>49</v>
      </c>
      <c r="K23" s="9" t="s">
        <v>50</v>
      </c>
      <c r="L23" s="9" t="s">
        <v>51</v>
      </c>
    </row>
    <row r="24" spans="1:14" x14ac:dyDescent="0.2">
      <c r="A24" s="3">
        <v>1</v>
      </c>
      <c r="B24" s="80"/>
      <c r="C24" s="80"/>
      <c r="D24" s="10"/>
      <c r="E24" s="15" t="s">
        <v>52</v>
      </c>
      <c r="F24" s="24" cm="1">
        <f t="array" ref="F24">_xlfn.IFS(E24="above invert",0.5,E24="below invert",1,E24="ponding",1,E24=" ",0)</f>
        <v>0</v>
      </c>
      <c r="G24" s="11"/>
      <c r="H24" s="10"/>
      <c r="I24" s="10"/>
      <c r="J24" s="12">
        <f>H24*I24</f>
        <v>0</v>
      </c>
      <c r="K24" s="13">
        <f>D24*G24*J24*F24</f>
        <v>0</v>
      </c>
      <c r="L24" s="79"/>
    </row>
    <row r="25" spans="1:14" x14ac:dyDescent="0.2">
      <c r="A25" s="3">
        <v>2</v>
      </c>
      <c r="B25" s="80"/>
      <c r="C25" s="80"/>
      <c r="D25" s="10"/>
      <c r="E25" s="15" t="s">
        <v>52</v>
      </c>
      <c r="F25" s="24" cm="1">
        <f t="array" ref="F25">_xlfn.IFS(E25="above invert",0.5,E25="below invert",1,E25="ponding",1,E25=" ",0)</f>
        <v>0</v>
      </c>
      <c r="G25" s="11"/>
      <c r="H25" s="10"/>
      <c r="I25" s="10"/>
      <c r="J25" s="12">
        <f t="shared" ref="J25:J28" si="0">H25*I25</f>
        <v>0</v>
      </c>
      <c r="K25" s="13">
        <f>D25*G25*J25*F25</f>
        <v>0</v>
      </c>
      <c r="L25" s="79"/>
    </row>
    <row r="26" spans="1:14" x14ac:dyDescent="0.2">
      <c r="A26" s="3">
        <v>3</v>
      </c>
      <c r="B26" s="80"/>
      <c r="C26" s="80"/>
      <c r="D26" s="10"/>
      <c r="E26" s="15" t="s">
        <v>52</v>
      </c>
      <c r="F26" s="24" cm="1">
        <f t="array" ref="F26">_xlfn.IFS(E26="above invert",0.5,E26="below invert",1,E26="ponding",1,E26=" ",0)</f>
        <v>0</v>
      </c>
      <c r="G26" s="11"/>
      <c r="H26" s="10"/>
      <c r="I26" s="10"/>
      <c r="J26" s="12">
        <f t="shared" si="0"/>
        <v>0</v>
      </c>
      <c r="K26" s="13">
        <f>D26*G26*J26*F26</f>
        <v>0</v>
      </c>
      <c r="L26" s="79"/>
    </row>
    <row r="27" spans="1:14" x14ac:dyDescent="0.2">
      <c r="A27" s="3">
        <v>4</v>
      </c>
      <c r="B27" s="80"/>
      <c r="C27" s="80"/>
      <c r="D27" s="10"/>
      <c r="E27" s="15" t="s">
        <v>52</v>
      </c>
      <c r="F27" s="24" cm="1">
        <f t="array" ref="F27">_xlfn.IFS(E27="above invert",0.5,E27="below invert",1,E27="ponding",1,E27=" ",0)</f>
        <v>0</v>
      </c>
      <c r="G27" s="11"/>
      <c r="H27" s="10"/>
      <c r="I27" s="10"/>
      <c r="J27" s="12">
        <f t="shared" si="0"/>
        <v>0</v>
      </c>
      <c r="K27" s="13">
        <f>D27*G27*J27*F27</f>
        <v>0</v>
      </c>
      <c r="L27" s="79"/>
    </row>
    <row r="28" spans="1:14" x14ac:dyDescent="0.2">
      <c r="A28" s="3">
        <v>5</v>
      </c>
      <c r="B28" s="80"/>
      <c r="C28" s="80"/>
      <c r="D28" s="10"/>
      <c r="E28" s="15" t="s">
        <v>52</v>
      </c>
      <c r="F28" s="24" cm="1">
        <f t="array" ref="F28">_xlfn.IFS(E28="above invert",0.5,E28="below invert",1,E28="ponding",1,E28=" ",0)</f>
        <v>0</v>
      </c>
      <c r="G28" s="10"/>
      <c r="H28" s="10"/>
      <c r="I28" s="10"/>
      <c r="J28" s="12">
        <f t="shared" si="0"/>
        <v>0</v>
      </c>
      <c r="K28" s="13">
        <f>D28*G28*J28*F28</f>
        <v>0</v>
      </c>
      <c r="L28" s="79"/>
    </row>
    <row r="29" spans="1:14" x14ac:dyDescent="0.2">
      <c r="J29" s="62" t="s">
        <v>53</v>
      </c>
      <c r="K29" s="13">
        <f>SUM(K24:K28)</f>
        <v>0</v>
      </c>
      <c r="L29" s="79"/>
    </row>
    <row r="30" spans="1:14" x14ac:dyDescent="0.2">
      <c r="C30" s="14"/>
      <c r="D30" s="14"/>
      <c r="E30" s="14"/>
      <c r="F30" s="14"/>
      <c r="G30" s="14"/>
      <c r="H30" s="14"/>
      <c r="I30" s="14"/>
      <c r="J30" s="17" t="s">
        <v>54</v>
      </c>
      <c r="K30" s="16">
        <f>K29*7.48</f>
        <v>0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K31" s="17"/>
      <c r="L31" s="17"/>
    </row>
    <row r="32" spans="1:14" x14ac:dyDescent="0.2">
      <c r="A32" s="77" t="s">
        <v>55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9" t="s">
        <v>51</v>
      </c>
    </row>
    <row r="33" spans="1:14" x14ac:dyDescent="0.2">
      <c r="A33" s="76" t="s">
        <v>56</v>
      </c>
      <c r="B33" s="76"/>
      <c r="C33" s="76"/>
      <c r="D33" s="76"/>
      <c r="E33" s="76"/>
      <c r="F33" s="76"/>
      <c r="G33" s="76"/>
      <c r="H33" s="76"/>
      <c r="I33" s="76"/>
      <c r="J33" s="76"/>
      <c r="K33" s="32"/>
      <c r="L33" s="20"/>
    </row>
    <row r="34" spans="1:14" x14ac:dyDescent="0.2">
      <c r="A34" s="81" t="s">
        <v>57</v>
      </c>
      <c r="B34" s="81"/>
      <c r="C34" s="81"/>
      <c r="D34" s="81"/>
      <c r="E34" s="81"/>
      <c r="F34" s="81"/>
      <c r="G34" s="81"/>
      <c r="H34" s="81"/>
      <c r="I34" s="81"/>
      <c r="J34" s="81"/>
      <c r="K34" s="32"/>
      <c r="L34" s="20"/>
    </row>
    <row r="35" spans="1:14" ht="25.5" customHeight="1" x14ac:dyDescent="0.2">
      <c r="A35" s="76" t="s">
        <v>58</v>
      </c>
      <c r="B35" s="76"/>
      <c r="C35" s="76"/>
      <c r="D35" s="76"/>
      <c r="E35" s="76"/>
      <c r="F35" s="76"/>
      <c r="G35" s="76"/>
      <c r="H35" s="76"/>
      <c r="I35" s="76"/>
      <c r="J35" s="76"/>
      <c r="K35" s="33">
        <f>K33-K34</f>
        <v>0</v>
      </c>
      <c r="L35" s="20"/>
    </row>
    <row r="36" spans="1:14" x14ac:dyDescent="0.2">
      <c r="C36" s="14"/>
      <c r="D36" s="14"/>
      <c r="E36" s="14"/>
      <c r="F36" s="14"/>
      <c r="G36" s="14"/>
      <c r="H36" s="14"/>
      <c r="I36" s="14"/>
      <c r="K36" s="17"/>
      <c r="L36" s="17"/>
    </row>
    <row r="37" spans="1:14" x14ac:dyDescent="0.2">
      <c r="A37" s="77" t="s">
        <v>59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9" t="s">
        <v>51</v>
      </c>
    </row>
    <row r="38" spans="1:14" ht="25.5" customHeight="1" x14ac:dyDescent="0.2">
      <c r="A38" s="76" t="s">
        <v>60</v>
      </c>
      <c r="B38" s="76"/>
      <c r="C38" s="76"/>
      <c r="D38" s="76"/>
      <c r="E38" s="76"/>
      <c r="F38" s="76"/>
      <c r="G38" s="76"/>
      <c r="H38" s="76"/>
      <c r="I38" s="76"/>
      <c r="J38" s="76"/>
      <c r="K38" s="32"/>
      <c r="L38" s="20"/>
    </row>
    <row r="39" spans="1:14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2" t="s">
        <v>61</v>
      </c>
      <c r="K39" s="34">
        <f>IF(K38&gt;3.6,3.6,K38)</f>
        <v>0</v>
      </c>
      <c r="L39" s="20"/>
    </row>
    <row r="40" spans="1:14" x14ac:dyDescent="0.2">
      <c r="A40" s="81" t="s">
        <v>62</v>
      </c>
      <c r="B40" s="81"/>
      <c r="C40" s="81"/>
      <c r="D40" s="81"/>
      <c r="E40" s="81"/>
      <c r="F40" s="81"/>
      <c r="G40" s="81"/>
      <c r="H40" s="81"/>
      <c r="I40" s="81"/>
      <c r="J40" s="81" t="s">
        <v>62</v>
      </c>
      <c r="K40" s="32"/>
      <c r="L40" s="20"/>
    </row>
    <row r="41" spans="1:14" x14ac:dyDescent="0.2">
      <c r="A41" s="81" t="s">
        <v>63</v>
      </c>
      <c r="B41" s="81"/>
      <c r="C41" s="81"/>
      <c r="D41" s="81"/>
      <c r="E41" s="81"/>
      <c r="F41" s="81"/>
      <c r="G41" s="81"/>
      <c r="H41" s="81"/>
      <c r="I41" s="81"/>
      <c r="J41" s="81"/>
      <c r="K41" s="34">
        <f>K39*K40*6/12</f>
        <v>0</v>
      </c>
      <c r="L41" s="20"/>
    </row>
    <row r="42" spans="1:14" ht="13.5" customHeight="1" x14ac:dyDescent="0.2">
      <c r="A42" s="63"/>
      <c r="B42" s="62"/>
      <c r="C42" s="62"/>
      <c r="D42" s="62"/>
      <c r="E42" s="62"/>
      <c r="F42" s="62"/>
      <c r="G42" s="62"/>
      <c r="H42" s="62"/>
      <c r="I42" s="62"/>
      <c r="J42" s="17" t="s">
        <v>64</v>
      </c>
      <c r="K42" s="35">
        <f>K41*7.48</f>
        <v>0</v>
      </c>
      <c r="L42" s="20"/>
    </row>
    <row r="44" spans="1:14" ht="15.75" x14ac:dyDescent="0.25">
      <c r="A44" s="31" t="s">
        <v>65</v>
      </c>
      <c r="C44" s="2"/>
      <c r="N44" s="14" t="s">
        <v>40</v>
      </c>
    </row>
    <row r="45" spans="1:14" x14ac:dyDescent="0.2">
      <c r="A45" s="77" t="s">
        <v>41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</row>
    <row r="46" spans="1:14" s="4" customFormat="1" ht="25.5" x14ac:dyDescent="0.2">
      <c r="A46" s="18" t="s">
        <v>42</v>
      </c>
      <c r="B46" s="82" t="s">
        <v>43</v>
      </c>
      <c r="C46" s="82"/>
      <c r="D46" s="9" t="s">
        <v>10</v>
      </c>
      <c r="E46" s="9" t="s">
        <v>44</v>
      </c>
      <c r="F46" s="9" t="s">
        <v>45</v>
      </c>
      <c r="G46" s="9" t="s">
        <v>46</v>
      </c>
      <c r="H46" s="9" t="s">
        <v>47</v>
      </c>
      <c r="I46" s="9" t="s">
        <v>48</v>
      </c>
      <c r="J46" s="9" t="s">
        <v>49</v>
      </c>
      <c r="K46" s="9" t="s">
        <v>50</v>
      </c>
      <c r="L46" s="9" t="s">
        <v>51</v>
      </c>
    </row>
    <row r="47" spans="1:14" ht="12.75" customHeight="1" x14ac:dyDescent="0.2">
      <c r="A47" s="3">
        <v>1</v>
      </c>
      <c r="B47" s="80"/>
      <c r="C47" s="80"/>
      <c r="D47" s="10"/>
      <c r="E47" s="15" t="s">
        <v>52</v>
      </c>
      <c r="F47" s="24" cm="1">
        <f t="array" ref="F47">_xlfn.IFS(E47="above invert",0.5,E47="below invert",1,E47="ponding",1,E47=" ",0)</f>
        <v>0</v>
      </c>
      <c r="G47" s="11"/>
      <c r="H47" s="10"/>
      <c r="I47" s="10"/>
      <c r="J47" s="12">
        <f>H47*I47</f>
        <v>0</v>
      </c>
      <c r="K47" s="13">
        <f>D47*G47*J47*F47</f>
        <v>0</v>
      </c>
      <c r="L47" s="79"/>
    </row>
    <row r="48" spans="1:14" x14ac:dyDescent="0.2">
      <c r="A48" s="3">
        <v>2</v>
      </c>
      <c r="B48" s="80"/>
      <c r="C48" s="80"/>
      <c r="D48" s="10"/>
      <c r="E48" s="15" t="s">
        <v>52</v>
      </c>
      <c r="F48" s="24" cm="1">
        <f t="array" ref="F48">_xlfn.IFS(E48="above invert",0.5,E48="below invert",1,E48="ponding",1,E48=" ",0)</f>
        <v>0</v>
      </c>
      <c r="G48" s="11"/>
      <c r="H48" s="10"/>
      <c r="I48" s="10"/>
      <c r="J48" s="12">
        <f t="shared" ref="J48:J51" si="1">H48*I48</f>
        <v>0</v>
      </c>
      <c r="K48" s="13">
        <f>D48*G48*J48*F48</f>
        <v>0</v>
      </c>
      <c r="L48" s="79"/>
    </row>
    <row r="49" spans="1:12" x14ac:dyDescent="0.2">
      <c r="A49" s="3">
        <v>3</v>
      </c>
      <c r="B49" s="80"/>
      <c r="C49" s="80"/>
      <c r="D49" s="10"/>
      <c r="E49" s="15" t="s">
        <v>52</v>
      </c>
      <c r="F49" s="24" cm="1">
        <f t="array" ref="F49">_xlfn.IFS(E49="above invert",0.5,E49="below invert",1,E49="ponding",1,E49=" ",0)</f>
        <v>0</v>
      </c>
      <c r="G49" s="11"/>
      <c r="H49" s="10"/>
      <c r="I49" s="10"/>
      <c r="J49" s="12">
        <f t="shared" si="1"/>
        <v>0</v>
      </c>
      <c r="K49" s="13">
        <f>D49*G49*J49*F49</f>
        <v>0</v>
      </c>
      <c r="L49" s="79"/>
    </row>
    <row r="50" spans="1:12" x14ac:dyDescent="0.2">
      <c r="A50" s="3">
        <v>4</v>
      </c>
      <c r="B50" s="80"/>
      <c r="C50" s="80"/>
      <c r="D50" s="10"/>
      <c r="E50" s="15" t="s">
        <v>52</v>
      </c>
      <c r="F50" s="24" cm="1">
        <f t="array" ref="F50">_xlfn.IFS(E50="above invert",0.5,E50="below invert",1,E50="ponding",1,E50=" ",0)</f>
        <v>0</v>
      </c>
      <c r="G50" s="11"/>
      <c r="H50" s="10"/>
      <c r="I50" s="10"/>
      <c r="J50" s="12">
        <f t="shared" si="1"/>
        <v>0</v>
      </c>
      <c r="K50" s="13">
        <f>D50*G50*J50*F50</f>
        <v>0</v>
      </c>
      <c r="L50" s="79"/>
    </row>
    <row r="51" spans="1:12" x14ac:dyDescent="0.2">
      <c r="A51" s="3">
        <v>5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0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J52" s="62" t="s">
        <v>53</v>
      </c>
      <c r="K52" s="13">
        <f>SUM(K47:K51)</f>
        <v>0</v>
      </c>
      <c r="L52" s="79"/>
    </row>
    <row r="53" spans="1:12" x14ac:dyDescent="0.2">
      <c r="C53" s="14"/>
      <c r="D53" s="14"/>
      <c r="E53" s="14"/>
      <c r="F53" s="14"/>
      <c r="G53" s="14"/>
      <c r="H53" s="14"/>
      <c r="I53" s="14"/>
      <c r="J53" s="17" t="s">
        <v>54</v>
      </c>
      <c r="K53" s="16">
        <f>K52*7.48</f>
        <v>0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K54" s="17"/>
      <c r="L54" s="17"/>
    </row>
    <row r="55" spans="1:12" x14ac:dyDescent="0.2">
      <c r="A55" s="77" t="s">
        <v>55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9" t="s">
        <v>51</v>
      </c>
    </row>
    <row r="56" spans="1:12" x14ac:dyDescent="0.2">
      <c r="A56" s="76" t="s">
        <v>56</v>
      </c>
      <c r="B56" s="76"/>
      <c r="C56" s="76"/>
      <c r="D56" s="76"/>
      <c r="E56" s="76"/>
      <c r="F56" s="76"/>
      <c r="G56" s="76"/>
      <c r="H56" s="76"/>
      <c r="I56" s="76"/>
      <c r="J56" s="76"/>
      <c r="K56" s="36"/>
      <c r="L56" s="20"/>
    </row>
    <row r="57" spans="1:12" x14ac:dyDescent="0.2">
      <c r="A57" s="81" t="s">
        <v>57</v>
      </c>
      <c r="B57" s="81"/>
      <c r="C57" s="81"/>
      <c r="D57" s="81"/>
      <c r="E57" s="81"/>
      <c r="F57" s="81"/>
      <c r="G57" s="81"/>
      <c r="H57" s="81"/>
      <c r="I57" s="81"/>
      <c r="J57" s="81"/>
      <c r="K57" s="36"/>
      <c r="L57" s="20"/>
    </row>
    <row r="58" spans="1:12" ht="25.5" customHeight="1" x14ac:dyDescent="0.2">
      <c r="A58" s="76" t="s">
        <v>58</v>
      </c>
      <c r="B58" s="76"/>
      <c r="C58" s="76"/>
      <c r="D58" s="76"/>
      <c r="E58" s="76"/>
      <c r="F58" s="76"/>
      <c r="G58" s="76"/>
      <c r="H58" s="76"/>
      <c r="I58" s="76"/>
      <c r="J58" s="76"/>
      <c r="K58" s="33">
        <f>K56-K57</f>
        <v>0</v>
      </c>
      <c r="L58" s="20"/>
    </row>
    <row r="59" spans="1:12" x14ac:dyDescent="0.2">
      <c r="C59" s="14"/>
      <c r="D59" s="14"/>
      <c r="E59" s="14"/>
      <c r="F59" s="14"/>
      <c r="G59" s="14"/>
      <c r="H59" s="14"/>
      <c r="I59" s="14"/>
      <c r="K59" s="17"/>
      <c r="L59" s="17"/>
    </row>
    <row r="60" spans="1:12" x14ac:dyDescent="0.2">
      <c r="A60" s="77" t="s">
        <v>59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9" t="s">
        <v>51</v>
      </c>
    </row>
    <row r="61" spans="1:12" ht="25.5" customHeight="1" x14ac:dyDescent="0.2">
      <c r="A61" s="76" t="s">
        <v>60</v>
      </c>
      <c r="B61" s="76"/>
      <c r="C61" s="76"/>
      <c r="D61" s="76"/>
      <c r="E61" s="76"/>
      <c r="F61" s="76"/>
      <c r="G61" s="76"/>
      <c r="H61" s="76"/>
      <c r="I61" s="76"/>
      <c r="J61" s="76"/>
      <c r="K61" s="32"/>
      <c r="L61" s="20"/>
    </row>
    <row r="62" spans="1:12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2" t="s">
        <v>61</v>
      </c>
      <c r="K62" s="34">
        <f>IF(K61&gt;3.6,3.6,K61)</f>
        <v>0</v>
      </c>
      <c r="L62" s="20"/>
    </row>
    <row r="63" spans="1:12" x14ac:dyDescent="0.2">
      <c r="A63" s="81" t="s">
        <v>62</v>
      </c>
      <c r="B63" s="81"/>
      <c r="C63" s="81"/>
      <c r="D63" s="81"/>
      <c r="E63" s="81"/>
      <c r="F63" s="81"/>
      <c r="G63" s="81"/>
      <c r="H63" s="81"/>
      <c r="I63" s="81"/>
      <c r="J63" s="81" t="s">
        <v>62</v>
      </c>
      <c r="K63" s="36"/>
      <c r="L63" s="20"/>
    </row>
    <row r="64" spans="1:12" x14ac:dyDescent="0.2">
      <c r="A64" s="81" t="s">
        <v>63</v>
      </c>
      <c r="B64" s="81"/>
      <c r="C64" s="81"/>
      <c r="D64" s="81"/>
      <c r="E64" s="81"/>
      <c r="F64" s="81"/>
      <c r="G64" s="81"/>
      <c r="H64" s="81"/>
      <c r="I64" s="81"/>
      <c r="J64" s="81"/>
      <c r="K64" s="34">
        <f>K62*K63*6/12</f>
        <v>0</v>
      </c>
      <c r="L64" s="20"/>
    </row>
    <row r="65" spans="1:14" ht="13.5" customHeight="1" x14ac:dyDescent="0.2">
      <c r="A65" s="63"/>
      <c r="B65" s="62"/>
      <c r="C65" s="62"/>
      <c r="D65" s="62"/>
      <c r="E65" s="62"/>
      <c r="F65" s="62"/>
      <c r="G65" s="62"/>
      <c r="H65" s="62"/>
      <c r="I65" s="62"/>
      <c r="J65" s="17" t="s">
        <v>64</v>
      </c>
      <c r="K65" s="35">
        <f>K64*7.48</f>
        <v>0</v>
      </c>
      <c r="L65" s="20"/>
    </row>
    <row r="67" spans="1:14" ht="15.75" x14ac:dyDescent="0.25">
      <c r="A67" s="31" t="s">
        <v>66</v>
      </c>
      <c r="C67" s="2"/>
      <c r="N67" s="14" t="s">
        <v>40</v>
      </c>
    </row>
    <row r="68" spans="1:14" x14ac:dyDescent="0.2">
      <c r="A68" s="77" t="s">
        <v>41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</row>
    <row r="69" spans="1:14" s="4" customFormat="1" ht="25.5" x14ac:dyDescent="0.2">
      <c r="A69" s="18" t="s">
        <v>42</v>
      </c>
      <c r="B69" s="82" t="s">
        <v>43</v>
      </c>
      <c r="C69" s="82"/>
      <c r="D69" s="9" t="s">
        <v>10</v>
      </c>
      <c r="E69" s="9" t="s">
        <v>44</v>
      </c>
      <c r="F69" s="9" t="s">
        <v>45</v>
      </c>
      <c r="G69" s="9" t="s">
        <v>46</v>
      </c>
      <c r="H69" s="9" t="s">
        <v>47</v>
      </c>
      <c r="I69" s="9" t="s">
        <v>48</v>
      </c>
      <c r="J69" s="9" t="s">
        <v>49</v>
      </c>
      <c r="K69" s="9" t="s">
        <v>50</v>
      </c>
      <c r="L69" s="9" t="s">
        <v>51</v>
      </c>
    </row>
    <row r="70" spans="1:14" ht="12.75" customHeight="1" x14ac:dyDescent="0.2">
      <c r="A70" s="3">
        <v>1</v>
      </c>
      <c r="B70" s="80"/>
      <c r="C70" s="80"/>
      <c r="D70" s="10"/>
      <c r="E70" s="15" t="s">
        <v>52</v>
      </c>
      <c r="F70" s="24" cm="1">
        <f t="array" ref="F70">_xlfn.IFS(E70="above invert",0.5,E70="below invert",1,E70="ponding",1,E70=" ",0)</f>
        <v>0</v>
      </c>
      <c r="G70" s="11"/>
      <c r="H70" s="10"/>
      <c r="I70" s="10"/>
      <c r="J70" s="12">
        <f>H70*I70</f>
        <v>0</v>
      </c>
      <c r="K70" s="13">
        <f>D70*G70*J70*F70</f>
        <v>0</v>
      </c>
      <c r="L70" s="79"/>
    </row>
    <row r="71" spans="1:14" x14ac:dyDescent="0.2">
      <c r="A71" s="3">
        <v>2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 t="shared" ref="J71:J74" si="2">H71*I71</f>
        <v>0</v>
      </c>
      <c r="K71" s="13">
        <f>D71*G71*J71*F71</f>
        <v>0</v>
      </c>
      <c r="L71" s="79"/>
    </row>
    <row r="72" spans="1:14" x14ac:dyDescent="0.2">
      <c r="A72" s="3">
        <v>3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si="2"/>
        <v>0</v>
      </c>
      <c r="K72" s="13">
        <f>D72*G72*J72*F72</f>
        <v>0</v>
      </c>
      <c r="L72" s="79"/>
    </row>
    <row r="73" spans="1:14" x14ac:dyDescent="0.2">
      <c r="A73" s="3">
        <v>4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5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0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J75" s="62" t="s">
        <v>53</v>
      </c>
      <c r="K75" s="13">
        <f>SUM(K70:K74)</f>
        <v>0</v>
      </c>
      <c r="L75" s="79"/>
    </row>
    <row r="76" spans="1:14" x14ac:dyDescent="0.2">
      <c r="C76" s="14"/>
      <c r="D76" s="14"/>
      <c r="E76" s="14"/>
      <c r="F76" s="14"/>
      <c r="G76" s="14"/>
      <c r="H76" s="14"/>
      <c r="I76" s="14"/>
      <c r="J76" s="17" t="s">
        <v>54</v>
      </c>
      <c r="K76" s="16">
        <f>K75*7.48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K77" s="17"/>
      <c r="L77" s="17"/>
    </row>
    <row r="78" spans="1:14" x14ac:dyDescent="0.2">
      <c r="A78" s="77" t="s">
        <v>55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9" t="s">
        <v>51</v>
      </c>
    </row>
    <row r="79" spans="1:14" x14ac:dyDescent="0.2">
      <c r="A79" s="76" t="s">
        <v>56</v>
      </c>
      <c r="B79" s="76"/>
      <c r="C79" s="76"/>
      <c r="D79" s="76"/>
      <c r="E79" s="76"/>
      <c r="F79" s="76"/>
      <c r="G79" s="76"/>
      <c r="H79" s="76"/>
      <c r="I79" s="76"/>
      <c r="J79" s="76"/>
      <c r="K79" s="32"/>
      <c r="L79" s="20"/>
    </row>
    <row r="80" spans="1:14" x14ac:dyDescent="0.2">
      <c r="A80" s="81" t="s">
        <v>57</v>
      </c>
      <c r="B80" s="81"/>
      <c r="C80" s="81"/>
      <c r="D80" s="81"/>
      <c r="E80" s="81"/>
      <c r="F80" s="81"/>
      <c r="G80" s="81"/>
      <c r="H80" s="81"/>
      <c r="I80" s="81"/>
      <c r="J80" s="81"/>
      <c r="K80" s="32"/>
      <c r="L80" s="20"/>
    </row>
    <row r="81" spans="1:14" ht="25.5" customHeight="1" x14ac:dyDescent="0.2">
      <c r="A81" s="76" t="s">
        <v>58</v>
      </c>
      <c r="B81" s="76"/>
      <c r="C81" s="76"/>
      <c r="D81" s="76"/>
      <c r="E81" s="76"/>
      <c r="F81" s="76"/>
      <c r="G81" s="76"/>
      <c r="H81" s="76"/>
      <c r="I81" s="76"/>
      <c r="J81" s="76"/>
      <c r="K81" s="33">
        <f>K79-K80</f>
        <v>0</v>
      </c>
      <c r="L81" s="20"/>
    </row>
    <row r="82" spans="1:14" x14ac:dyDescent="0.2">
      <c r="C82" s="14"/>
      <c r="D82" s="14"/>
      <c r="E82" s="14"/>
      <c r="F82" s="14"/>
      <c r="G82" s="14"/>
      <c r="H82" s="14"/>
      <c r="I82" s="14"/>
      <c r="K82" s="17"/>
      <c r="L82" s="17"/>
    </row>
    <row r="83" spans="1:14" x14ac:dyDescent="0.2">
      <c r="A83" s="77" t="s">
        <v>59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9" t="s">
        <v>51</v>
      </c>
    </row>
    <row r="84" spans="1:14" ht="25.5" customHeight="1" x14ac:dyDescent="0.2">
      <c r="A84" s="76" t="s">
        <v>60</v>
      </c>
      <c r="B84" s="76"/>
      <c r="C84" s="76"/>
      <c r="D84" s="76"/>
      <c r="E84" s="76"/>
      <c r="F84" s="76"/>
      <c r="G84" s="76"/>
      <c r="H84" s="76"/>
      <c r="I84" s="76"/>
      <c r="J84" s="76"/>
      <c r="K84" s="32"/>
      <c r="L84" s="20"/>
    </row>
    <row r="85" spans="1:14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2" t="s">
        <v>61</v>
      </c>
      <c r="K85" s="34">
        <f>IF(K84&gt;3.6,3.6,K84)</f>
        <v>0</v>
      </c>
      <c r="L85" s="20"/>
    </row>
    <row r="86" spans="1:14" x14ac:dyDescent="0.2">
      <c r="A86" s="81" t="s">
        <v>62</v>
      </c>
      <c r="B86" s="81"/>
      <c r="C86" s="81"/>
      <c r="D86" s="81"/>
      <c r="E86" s="81"/>
      <c r="F86" s="81"/>
      <c r="G86" s="81"/>
      <c r="H86" s="81"/>
      <c r="I86" s="81"/>
      <c r="J86" s="81" t="s">
        <v>62</v>
      </c>
      <c r="K86" s="32"/>
      <c r="L86" s="20"/>
    </row>
    <row r="87" spans="1:14" x14ac:dyDescent="0.2">
      <c r="A87" s="81" t="s">
        <v>63</v>
      </c>
      <c r="B87" s="81"/>
      <c r="C87" s="81"/>
      <c r="D87" s="81"/>
      <c r="E87" s="81"/>
      <c r="F87" s="81"/>
      <c r="G87" s="81"/>
      <c r="H87" s="81"/>
      <c r="I87" s="81"/>
      <c r="J87" s="81"/>
      <c r="K87" s="34">
        <f>K85*K86*6/12</f>
        <v>0</v>
      </c>
      <c r="L87" s="20"/>
    </row>
    <row r="88" spans="1:14" ht="13.5" customHeight="1" x14ac:dyDescent="0.2">
      <c r="A88" s="63"/>
      <c r="B88" s="62"/>
      <c r="C88" s="62"/>
      <c r="D88" s="62"/>
      <c r="E88" s="62"/>
      <c r="F88" s="62"/>
      <c r="G88" s="62"/>
      <c r="H88" s="62"/>
      <c r="I88" s="62"/>
      <c r="J88" s="17" t="s">
        <v>64</v>
      </c>
      <c r="K88" s="35">
        <f>K87*7.48</f>
        <v>0</v>
      </c>
      <c r="L88" s="20"/>
    </row>
    <row r="90" spans="1:14" ht="15.75" x14ac:dyDescent="0.25">
      <c r="A90" s="31" t="s">
        <v>67</v>
      </c>
      <c r="C90" s="2"/>
      <c r="N90" s="14" t="s">
        <v>40</v>
      </c>
    </row>
    <row r="91" spans="1:14" x14ac:dyDescent="0.2">
      <c r="A91" s="77" t="s">
        <v>41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</row>
    <row r="92" spans="1:14" s="4" customFormat="1" ht="25.5" x14ac:dyDescent="0.2">
      <c r="A92" s="18" t="s">
        <v>42</v>
      </c>
      <c r="B92" s="82" t="s">
        <v>43</v>
      </c>
      <c r="C92" s="82"/>
      <c r="D92" s="9" t="s">
        <v>10</v>
      </c>
      <c r="E92" s="9" t="s">
        <v>44</v>
      </c>
      <c r="F92" s="9" t="s">
        <v>45</v>
      </c>
      <c r="G92" s="9" t="s">
        <v>46</v>
      </c>
      <c r="H92" s="9" t="s">
        <v>47</v>
      </c>
      <c r="I92" s="9" t="s">
        <v>48</v>
      </c>
      <c r="J92" s="9" t="s">
        <v>49</v>
      </c>
      <c r="K92" s="9" t="s">
        <v>50</v>
      </c>
      <c r="L92" s="9" t="s">
        <v>51</v>
      </c>
    </row>
    <row r="93" spans="1:14" ht="12.75" customHeight="1" x14ac:dyDescent="0.2">
      <c r="A93" s="3">
        <v>1</v>
      </c>
      <c r="B93" s="80"/>
      <c r="C93" s="80"/>
      <c r="D93" s="10"/>
      <c r="E93" s="15" t="s">
        <v>52</v>
      </c>
      <c r="F93" s="24" cm="1">
        <f t="array" ref="F93">_xlfn.IFS(E93="above invert",0.5,E93="below invert",1,E93="ponding",1,E93=" ",0)</f>
        <v>0</v>
      </c>
      <c r="G93" s="11"/>
      <c r="H93" s="10"/>
      <c r="I93" s="10"/>
      <c r="J93" s="12">
        <f>H93*I93</f>
        <v>0</v>
      </c>
      <c r="K93" s="13">
        <f>D93*G93*J93*F93</f>
        <v>0</v>
      </c>
      <c r="L93" s="79"/>
    </row>
    <row r="94" spans="1:14" x14ac:dyDescent="0.2">
      <c r="A94" s="3">
        <v>2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 t="shared" ref="J94:J97" si="3">H94*I94</f>
        <v>0</v>
      </c>
      <c r="K94" s="13">
        <f>D94*G94*J94*F94</f>
        <v>0</v>
      </c>
      <c r="L94" s="79"/>
    </row>
    <row r="95" spans="1:14" x14ac:dyDescent="0.2">
      <c r="A95" s="3">
        <v>3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si="3"/>
        <v>0</v>
      </c>
      <c r="K95" s="13">
        <f>D95*G95*J95*F95</f>
        <v>0</v>
      </c>
      <c r="L95" s="79"/>
    </row>
    <row r="96" spans="1:14" x14ac:dyDescent="0.2">
      <c r="A96" s="3">
        <v>4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5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0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J98" s="62" t="s">
        <v>53</v>
      </c>
      <c r="K98" s="13">
        <f>SUM(K93:K97)</f>
        <v>0</v>
      </c>
      <c r="L98" s="79"/>
    </row>
    <row r="99" spans="1:12" x14ac:dyDescent="0.2">
      <c r="C99" s="14"/>
      <c r="D99" s="14"/>
      <c r="E99" s="14"/>
      <c r="F99" s="14"/>
      <c r="G99" s="14"/>
      <c r="H99" s="14"/>
      <c r="I99" s="14"/>
      <c r="J99" s="17" t="s">
        <v>54</v>
      </c>
      <c r="K99" s="16">
        <f>K98*7.48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K100" s="17"/>
      <c r="L100" s="17"/>
    </row>
    <row r="101" spans="1:12" x14ac:dyDescent="0.2">
      <c r="A101" s="77" t="s">
        <v>55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9" t="s">
        <v>51</v>
      </c>
    </row>
    <row r="102" spans="1:12" x14ac:dyDescent="0.2">
      <c r="A102" s="76" t="s">
        <v>56</v>
      </c>
      <c r="B102" s="76"/>
      <c r="C102" s="76"/>
      <c r="D102" s="76"/>
      <c r="E102" s="76"/>
      <c r="F102" s="76"/>
      <c r="G102" s="76"/>
      <c r="H102" s="76"/>
      <c r="I102" s="76"/>
      <c r="J102" s="76"/>
      <c r="K102" s="32"/>
      <c r="L102" s="20"/>
    </row>
    <row r="103" spans="1:12" x14ac:dyDescent="0.2">
      <c r="A103" s="81" t="s">
        <v>57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32"/>
      <c r="L103" s="20"/>
    </row>
    <row r="104" spans="1:12" ht="25.5" customHeight="1" x14ac:dyDescent="0.2">
      <c r="A104" s="76" t="s">
        <v>58</v>
      </c>
      <c r="B104" s="76"/>
      <c r="C104" s="76"/>
      <c r="D104" s="76"/>
      <c r="E104" s="76"/>
      <c r="F104" s="76"/>
      <c r="G104" s="76"/>
      <c r="H104" s="76"/>
      <c r="I104" s="76"/>
      <c r="J104" s="76"/>
      <c r="K104" s="33">
        <f>K102-K103</f>
        <v>0</v>
      </c>
      <c r="L104" s="20"/>
    </row>
    <row r="105" spans="1:12" x14ac:dyDescent="0.2">
      <c r="C105" s="14"/>
      <c r="D105" s="14"/>
      <c r="E105" s="14"/>
      <c r="F105" s="14"/>
      <c r="G105" s="14"/>
      <c r="H105" s="14"/>
      <c r="I105" s="14"/>
      <c r="K105" s="17"/>
      <c r="L105" s="17"/>
    </row>
    <row r="106" spans="1:12" x14ac:dyDescent="0.2">
      <c r="A106" s="77" t="s">
        <v>59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9" t="s">
        <v>51</v>
      </c>
    </row>
    <row r="107" spans="1:12" ht="25.5" customHeight="1" x14ac:dyDescent="0.2">
      <c r="A107" s="76" t="s">
        <v>60</v>
      </c>
      <c r="B107" s="76"/>
      <c r="C107" s="76"/>
      <c r="D107" s="76"/>
      <c r="E107" s="76"/>
      <c r="F107" s="76"/>
      <c r="G107" s="76"/>
      <c r="H107" s="76"/>
      <c r="I107" s="76"/>
      <c r="J107" s="76"/>
      <c r="K107" s="32"/>
      <c r="L107" s="20"/>
    </row>
    <row r="108" spans="1:12" x14ac:dyDescent="0.2">
      <c r="A108" s="63"/>
      <c r="B108" s="63"/>
      <c r="C108" s="63"/>
      <c r="D108" s="63"/>
      <c r="E108" s="63"/>
      <c r="F108" s="63"/>
      <c r="G108" s="63"/>
      <c r="H108" s="63"/>
      <c r="I108" s="63"/>
      <c r="J108" s="62" t="s">
        <v>61</v>
      </c>
      <c r="K108" s="34">
        <f>IF(K107&gt;3.6,3.6,K107)</f>
        <v>0</v>
      </c>
      <c r="L108" s="20"/>
    </row>
    <row r="109" spans="1:12" x14ac:dyDescent="0.2">
      <c r="A109" s="81" t="s">
        <v>62</v>
      </c>
      <c r="B109" s="81"/>
      <c r="C109" s="81"/>
      <c r="D109" s="81"/>
      <c r="E109" s="81"/>
      <c r="F109" s="81"/>
      <c r="G109" s="81"/>
      <c r="H109" s="81"/>
      <c r="I109" s="81"/>
      <c r="J109" s="81" t="s">
        <v>62</v>
      </c>
      <c r="K109" s="32"/>
      <c r="L109" s="20"/>
    </row>
    <row r="110" spans="1:12" x14ac:dyDescent="0.2">
      <c r="A110" s="81" t="s">
        <v>63</v>
      </c>
      <c r="B110" s="81"/>
      <c r="C110" s="81"/>
      <c r="D110" s="81"/>
      <c r="E110" s="81"/>
      <c r="F110" s="81"/>
      <c r="G110" s="81"/>
      <c r="H110" s="81"/>
      <c r="I110" s="81"/>
      <c r="J110" s="81"/>
      <c r="K110" s="34">
        <f>K108*K109*6/12</f>
        <v>0</v>
      </c>
      <c r="L110" s="20"/>
    </row>
    <row r="111" spans="1:12" ht="13.5" customHeight="1" x14ac:dyDescent="0.2">
      <c r="A111" s="63"/>
      <c r="B111" s="62"/>
      <c r="C111" s="62"/>
      <c r="D111" s="62"/>
      <c r="E111" s="62"/>
      <c r="F111" s="62"/>
      <c r="G111" s="62"/>
      <c r="H111" s="62"/>
      <c r="I111" s="62"/>
      <c r="J111" s="17" t="s">
        <v>64</v>
      </c>
      <c r="K111" s="35">
        <f>K110*7.48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</row>
    <row r="113" spans="1:14" ht="15.75" x14ac:dyDescent="0.25">
      <c r="A113" s="31" t="s">
        <v>68</v>
      </c>
      <c r="C113" s="2"/>
      <c r="N113" s="14" t="s">
        <v>40</v>
      </c>
    </row>
    <row r="114" spans="1:14" x14ac:dyDescent="0.2">
      <c r="A114" s="77" t="s">
        <v>41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</row>
    <row r="115" spans="1:14" s="4" customFormat="1" ht="25.5" x14ac:dyDescent="0.2">
      <c r="A115" s="18" t="s">
        <v>42</v>
      </c>
      <c r="B115" s="82" t="s">
        <v>43</v>
      </c>
      <c r="C115" s="82"/>
      <c r="D115" s="9" t="s">
        <v>10</v>
      </c>
      <c r="E115" s="9" t="s">
        <v>44</v>
      </c>
      <c r="F115" s="9" t="s">
        <v>45</v>
      </c>
      <c r="G115" s="9" t="s">
        <v>46</v>
      </c>
      <c r="H115" s="9" t="s">
        <v>47</v>
      </c>
      <c r="I115" s="9" t="s">
        <v>48</v>
      </c>
      <c r="J115" s="9" t="s">
        <v>49</v>
      </c>
      <c r="K115" s="9" t="s">
        <v>50</v>
      </c>
      <c r="L115" s="9" t="s">
        <v>51</v>
      </c>
    </row>
    <row r="116" spans="1:14" ht="12.75" customHeight="1" x14ac:dyDescent="0.2">
      <c r="A116" s="3">
        <v>1</v>
      </c>
      <c r="B116" s="80"/>
      <c r="C116" s="80"/>
      <c r="D116" s="10"/>
      <c r="E116" s="15" t="s">
        <v>52</v>
      </c>
      <c r="F116" s="24" cm="1">
        <f t="array" ref="F116">_xlfn.IFS(E116="above invert",0.5,E116="below invert",1,E116="ponding",1,E116=" ",0)</f>
        <v>0</v>
      </c>
      <c r="G116" s="11"/>
      <c r="H116" s="10"/>
      <c r="I116" s="10"/>
      <c r="J116" s="12">
        <f>H116*I116</f>
        <v>0</v>
      </c>
      <c r="K116" s="13">
        <f>D116*G116*J116*F116</f>
        <v>0</v>
      </c>
      <c r="L116" s="79"/>
    </row>
    <row r="117" spans="1:14" x14ac:dyDescent="0.2">
      <c r="A117" s="3">
        <v>2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 t="shared" ref="J117:J120" si="4">H117*I117</f>
        <v>0</v>
      </c>
      <c r="K117" s="13">
        <f>D117*G117*J117*F117</f>
        <v>0</v>
      </c>
      <c r="L117" s="79"/>
    </row>
    <row r="118" spans="1:14" x14ac:dyDescent="0.2">
      <c r="A118" s="3">
        <v>3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si="4"/>
        <v>0</v>
      </c>
      <c r="K118" s="13">
        <f>D118*G118*J118*F118</f>
        <v>0</v>
      </c>
      <c r="L118" s="79"/>
    </row>
    <row r="119" spans="1:14" x14ac:dyDescent="0.2">
      <c r="A119" s="3">
        <v>4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5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0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J121" s="62" t="s">
        <v>53</v>
      </c>
      <c r="K121" s="13">
        <f>SUM(K116:K120)</f>
        <v>0</v>
      </c>
      <c r="L121" s="79"/>
    </row>
    <row r="122" spans="1:14" x14ac:dyDescent="0.2">
      <c r="C122" s="14"/>
      <c r="D122" s="14"/>
      <c r="E122" s="14"/>
      <c r="F122" s="14"/>
      <c r="G122" s="14"/>
      <c r="H122" s="14"/>
      <c r="I122" s="14"/>
      <c r="J122" s="17" t="s">
        <v>54</v>
      </c>
      <c r="K122" s="16">
        <f>K121*7.48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K123" s="17"/>
      <c r="L123" s="17"/>
    </row>
    <row r="124" spans="1:14" x14ac:dyDescent="0.2">
      <c r="A124" s="77" t="s">
        <v>55</v>
      </c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9" t="s">
        <v>51</v>
      </c>
    </row>
    <row r="125" spans="1:14" x14ac:dyDescent="0.2">
      <c r="A125" s="76" t="s">
        <v>56</v>
      </c>
      <c r="B125" s="76"/>
      <c r="C125" s="76"/>
      <c r="D125" s="76"/>
      <c r="E125" s="76"/>
      <c r="F125" s="76"/>
      <c r="G125" s="76"/>
      <c r="H125" s="76"/>
      <c r="I125" s="76"/>
      <c r="J125" s="76"/>
      <c r="K125" s="32"/>
      <c r="L125" s="20"/>
    </row>
    <row r="126" spans="1:14" x14ac:dyDescent="0.2">
      <c r="A126" s="81" t="s">
        <v>57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32"/>
      <c r="L126" s="20"/>
    </row>
    <row r="127" spans="1:14" ht="25.5" customHeight="1" x14ac:dyDescent="0.2">
      <c r="A127" s="76" t="s">
        <v>58</v>
      </c>
      <c r="B127" s="76"/>
      <c r="C127" s="76"/>
      <c r="D127" s="76"/>
      <c r="E127" s="76"/>
      <c r="F127" s="76"/>
      <c r="G127" s="76"/>
      <c r="H127" s="76"/>
      <c r="I127" s="76"/>
      <c r="J127" s="76"/>
      <c r="K127" s="33">
        <f>K125-K126</f>
        <v>0</v>
      </c>
      <c r="L127" s="20"/>
    </row>
    <row r="128" spans="1:14" x14ac:dyDescent="0.2">
      <c r="C128" s="14"/>
      <c r="D128" s="14"/>
      <c r="E128" s="14"/>
      <c r="F128" s="14"/>
      <c r="G128" s="14"/>
      <c r="H128" s="14"/>
      <c r="I128" s="14"/>
      <c r="K128" s="17"/>
      <c r="L128" s="17"/>
    </row>
    <row r="129" spans="1:12" x14ac:dyDescent="0.2">
      <c r="A129" s="77" t="s">
        <v>59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9" t="s">
        <v>51</v>
      </c>
    </row>
    <row r="130" spans="1:12" ht="25.5" customHeight="1" x14ac:dyDescent="0.2">
      <c r="A130" s="76" t="s">
        <v>60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32"/>
      <c r="L130" s="20"/>
    </row>
    <row r="131" spans="1:12" x14ac:dyDescent="0.2">
      <c r="A131" s="63"/>
      <c r="B131" s="63"/>
      <c r="C131" s="63"/>
      <c r="D131" s="63"/>
      <c r="E131" s="63"/>
      <c r="F131" s="63"/>
      <c r="G131" s="63"/>
      <c r="H131" s="63"/>
      <c r="I131" s="63"/>
      <c r="J131" s="62" t="s">
        <v>61</v>
      </c>
      <c r="K131" s="34">
        <f>IF(K130&gt;3.6,3.6,K130)</f>
        <v>0</v>
      </c>
      <c r="L131" s="20"/>
    </row>
    <row r="132" spans="1:12" x14ac:dyDescent="0.2">
      <c r="A132" s="81" t="s">
        <v>62</v>
      </c>
      <c r="B132" s="81"/>
      <c r="C132" s="81"/>
      <c r="D132" s="81"/>
      <c r="E132" s="81"/>
      <c r="F132" s="81"/>
      <c r="G132" s="81"/>
      <c r="H132" s="81"/>
      <c r="I132" s="81"/>
      <c r="J132" s="81" t="s">
        <v>62</v>
      </c>
      <c r="K132" s="32"/>
      <c r="L132" s="20"/>
    </row>
    <row r="133" spans="1:12" x14ac:dyDescent="0.2">
      <c r="A133" s="81" t="s">
        <v>63</v>
      </c>
      <c r="B133" s="81"/>
      <c r="C133" s="81"/>
      <c r="D133" s="81"/>
      <c r="E133" s="81"/>
      <c r="F133" s="81"/>
      <c r="G133" s="81"/>
      <c r="H133" s="81"/>
      <c r="I133" s="81"/>
      <c r="J133" s="81"/>
      <c r="K133" s="34">
        <f>K131*K132*6/12</f>
        <v>0</v>
      </c>
      <c r="L133" s="20"/>
    </row>
    <row r="134" spans="1:12" ht="13.5" customHeight="1" x14ac:dyDescent="0.2">
      <c r="A134" s="63"/>
      <c r="B134" s="62"/>
      <c r="C134" s="62"/>
      <c r="D134" s="62"/>
      <c r="E134" s="62"/>
      <c r="F134" s="62"/>
      <c r="G134" s="62"/>
      <c r="H134" s="62"/>
      <c r="I134" s="62"/>
      <c r="J134" s="17" t="s">
        <v>64</v>
      </c>
      <c r="K134" s="35">
        <f>K133*7.48</f>
        <v>0</v>
      </c>
      <c r="L134" s="20"/>
    </row>
  </sheetData>
  <mergeCells count="104">
    <mergeCell ref="A12:B12"/>
    <mergeCell ref="A13:B13"/>
    <mergeCell ref="A14:B14"/>
    <mergeCell ref="K2:L16"/>
    <mergeCell ref="A5:B5"/>
    <mergeCell ref="A7:B7"/>
    <mergeCell ref="A8:B8"/>
    <mergeCell ref="A9:B9"/>
    <mergeCell ref="E9:I10"/>
    <mergeCell ref="C14:D14"/>
    <mergeCell ref="A10:B10"/>
    <mergeCell ref="A11:B11"/>
    <mergeCell ref="A61:J61"/>
    <mergeCell ref="A40:J40"/>
    <mergeCell ref="A41:J41"/>
    <mergeCell ref="A45:L45"/>
    <mergeCell ref="B46:C46"/>
    <mergeCell ref="B47:C47"/>
    <mergeCell ref="L47:L53"/>
    <mergeCell ref="B48:C48"/>
    <mergeCell ref="B49:C49"/>
    <mergeCell ref="B50:C50"/>
    <mergeCell ref="B51:C51"/>
    <mergeCell ref="A55:K55"/>
    <mergeCell ref="A56:J56"/>
    <mergeCell ref="A57:J57"/>
    <mergeCell ref="A58:J58"/>
    <mergeCell ref="A60:K60"/>
    <mergeCell ref="A38:J38"/>
    <mergeCell ref="A22:L22"/>
    <mergeCell ref="B23:C23"/>
    <mergeCell ref="B24:C24"/>
    <mergeCell ref="A104:J104"/>
    <mergeCell ref="A106:K106"/>
    <mergeCell ref="A84:J84"/>
    <mergeCell ref="A63:J63"/>
    <mergeCell ref="A64:J64"/>
    <mergeCell ref="A68:L68"/>
    <mergeCell ref="B69:C69"/>
    <mergeCell ref="B70:C70"/>
    <mergeCell ref="L70:L76"/>
    <mergeCell ref="B71:C71"/>
    <mergeCell ref="B72:C72"/>
    <mergeCell ref="B73:C73"/>
    <mergeCell ref="B74:C74"/>
    <mergeCell ref="A78:K78"/>
    <mergeCell ref="A79:J79"/>
    <mergeCell ref="A80:J80"/>
    <mergeCell ref="A81:J81"/>
    <mergeCell ref="A83:K83"/>
    <mergeCell ref="B93:C93"/>
    <mergeCell ref="L93:L99"/>
    <mergeCell ref="B94:C94"/>
    <mergeCell ref="B95:C95"/>
    <mergeCell ref="B96:C96"/>
    <mergeCell ref="B97:C97"/>
    <mergeCell ref="A101:K101"/>
    <mergeCell ref="A102:J102"/>
    <mergeCell ref="A103:J103"/>
    <mergeCell ref="C5:I5"/>
    <mergeCell ref="A132:J132"/>
    <mergeCell ref="A107:J107"/>
    <mergeCell ref="A86:J86"/>
    <mergeCell ref="A87:J87"/>
    <mergeCell ref="A91:L91"/>
    <mergeCell ref="B92:C92"/>
    <mergeCell ref="C17:D17"/>
    <mergeCell ref="A15:B15"/>
    <mergeCell ref="A16:B16"/>
    <mergeCell ref="A17:B17"/>
    <mergeCell ref="A18:B18"/>
    <mergeCell ref="E16:F16"/>
    <mergeCell ref="G16:H16"/>
    <mergeCell ref="C15:D15"/>
    <mergeCell ref="C18:E18"/>
    <mergeCell ref="F18:G18"/>
    <mergeCell ref="A133:J133"/>
    <mergeCell ref="A124:K124"/>
    <mergeCell ref="A125:J125"/>
    <mergeCell ref="A126:J126"/>
    <mergeCell ref="A127:J127"/>
    <mergeCell ref="A129:K129"/>
    <mergeCell ref="A130:J130"/>
    <mergeCell ref="A109:J109"/>
    <mergeCell ref="A110:J110"/>
    <mergeCell ref="A114:L114"/>
    <mergeCell ref="B115:C115"/>
    <mergeCell ref="B116:C116"/>
    <mergeCell ref="L116:L122"/>
    <mergeCell ref="B117:C117"/>
    <mergeCell ref="B118:C118"/>
    <mergeCell ref="B119:C119"/>
    <mergeCell ref="B120:C120"/>
    <mergeCell ref="A35:J35"/>
    <mergeCell ref="A37:K37"/>
    <mergeCell ref="H18:I18"/>
    <mergeCell ref="L24:L30"/>
    <mergeCell ref="B25:C25"/>
    <mergeCell ref="B26:C26"/>
    <mergeCell ref="B27:C27"/>
    <mergeCell ref="B28:C28"/>
    <mergeCell ref="A32:K32"/>
    <mergeCell ref="A33:J33"/>
    <mergeCell ref="A34:J34"/>
  </mergeCells>
  <dataValidations count="2">
    <dataValidation allowBlank="1" showInputMessage="1" showErrorMessage="1" sqref="F116:F120 J1 F24:F28 F47:F51 F70:F74 F93:F97 E9" xr:uid="{F9EE4DAB-DB29-4FD8-A49E-88B9F39E36F3}"/>
    <dataValidation type="list" allowBlank="1" showInputMessage="1" showErrorMessage="1" sqref="E93:E97 E116:E120 E24:E28 E70:E74 E47:E51" xr:uid="{D56F2D85-BAA1-4F0A-8D78-2A6698823847}">
      <formula1>"' ,above invert,below invert,ponding"</formula1>
    </dataValidation>
  </dataValidations>
  <pageMargins left="0.25" right="0.25" top="0.5" bottom="0.5" header="0.3" footer="0.3"/>
  <pageSetup scale="77" fitToHeight="0" orientation="landscape" verticalDpi="1200" r:id="rId1"/>
  <headerFooter>
    <oddFooter>&amp;LDate Printed: &amp;D&amp;CDesign DRC Page &amp;P of &amp;N</oddFooter>
  </headerFooter>
  <rowBreaks count="2" manualBreakCount="2">
    <brk id="43" max="11" man="1"/>
    <brk id="89" max="11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57537-E7B9-46E1-8CFC-76C8A0F51722}">
  <sheetPr>
    <tabColor rgb="FF00B050"/>
    <pageSetUpPr fitToPage="1"/>
  </sheetPr>
  <dimension ref="A1:O135"/>
  <sheetViews>
    <sheetView zoomScaleNormal="100" zoomScaleSheetLayoutView="80" workbookViewId="0">
      <selection activeCell="C14" sqref="C14"/>
    </sheetView>
  </sheetViews>
  <sheetFormatPr defaultRowHeight="12.75" x14ac:dyDescent="0.2"/>
  <cols>
    <col min="1" max="1" width="8.7109375" customWidth="1"/>
    <col min="2" max="2" width="18.5703125" customWidth="1"/>
    <col min="3" max="3" width="10.42578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8.28515625" customWidth="1"/>
    <col min="10" max="10" width="11.2851562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7"/>
    </row>
    <row r="3" spans="1:15" ht="18" x14ac:dyDescent="0.25">
      <c r="A3" s="1" t="s">
        <v>6</v>
      </c>
      <c r="J3" s="22" t="s">
        <v>7</v>
      </c>
      <c r="K3" s="97"/>
      <c r="L3" s="97"/>
      <c r="N3" s="7" t="s">
        <v>8</v>
      </c>
    </row>
    <row r="4" spans="1:15" ht="15" customHeight="1" x14ac:dyDescent="0.25">
      <c r="A4" s="1"/>
      <c r="K4" s="97"/>
      <c r="L4" s="97"/>
      <c r="N4" s="70" t="s">
        <v>9</v>
      </c>
      <c r="O4" s="70" t="s">
        <v>10</v>
      </c>
    </row>
    <row r="5" spans="1:15" ht="15" x14ac:dyDescent="0.25">
      <c r="A5" s="99" t="s">
        <v>11</v>
      </c>
      <c r="B5" s="99"/>
      <c r="C5" s="112"/>
      <c r="D5" s="112"/>
      <c r="E5" s="112"/>
      <c r="F5" s="112"/>
      <c r="G5" s="112"/>
      <c r="H5" s="112"/>
      <c r="I5" s="112"/>
      <c r="K5" s="97"/>
      <c r="L5" s="97"/>
      <c r="N5" s="8" t="s">
        <v>12</v>
      </c>
      <c r="O5" s="8">
        <v>0.41</v>
      </c>
    </row>
    <row r="6" spans="1:15" ht="15" x14ac:dyDescent="0.25">
      <c r="A6" s="69" t="s">
        <v>13</v>
      </c>
      <c r="B6" s="69"/>
      <c r="C6" s="64"/>
      <c r="D6" s="75"/>
      <c r="E6" s="69"/>
      <c r="F6" s="69"/>
      <c r="G6" s="69"/>
      <c r="H6" s="69"/>
      <c r="I6" s="69"/>
      <c r="K6" s="97"/>
      <c r="L6" s="97"/>
      <c r="N6" s="8" t="s">
        <v>14</v>
      </c>
      <c r="O6" s="8">
        <v>0.38</v>
      </c>
    </row>
    <row r="7" spans="1:15" ht="15.75" thickBot="1" x14ac:dyDescent="0.3">
      <c r="A7" s="111" t="s">
        <v>15</v>
      </c>
      <c r="B7" s="111"/>
      <c r="C7" s="44" t="s">
        <v>69</v>
      </c>
      <c r="D7" s="55"/>
      <c r="E7" s="26"/>
      <c r="F7" s="26"/>
      <c r="K7" s="97"/>
      <c r="L7" s="97"/>
      <c r="N7" s="8" t="s">
        <v>17</v>
      </c>
      <c r="O7" s="8">
        <v>0.28000000000000003</v>
      </c>
    </row>
    <row r="8" spans="1:15" ht="15" x14ac:dyDescent="0.25">
      <c r="A8" s="111" t="s">
        <v>18</v>
      </c>
      <c r="B8" s="111"/>
      <c r="C8" s="27">
        <f>SUMIF(J25:J503,"Subtotal Constructed Volume (gallons)",K25:K503)</f>
        <v>0</v>
      </c>
      <c r="D8" s="28" t="s">
        <v>19</v>
      </c>
      <c r="E8" s="49" t="s">
        <v>20</v>
      </c>
      <c r="F8" s="50"/>
      <c r="G8" s="50"/>
      <c r="H8" s="50"/>
      <c r="I8" s="51"/>
      <c r="K8" s="97"/>
      <c r="L8" s="97"/>
      <c r="N8" s="8" t="s">
        <v>21</v>
      </c>
      <c r="O8" s="8">
        <v>0.28000000000000003</v>
      </c>
    </row>
    <row r="9" spans="1:15" ht="15" customHeight="1" x14ac:dyDescent="0.25">
      <c r="A9" s="111" t="s">
        <v>22</v>
      </c>
      <c r="B9" s="111"/>
      <c r="C9" s="27">
        <f>SUMIF(J25:J503,"Infiltration Volume (gallons)",K25:K503)</f>
        <v>0</v>
      </c>
      <c r="D9" s="28" t="s">
        <v>19</v>
      </c>
      <c r="E9" s="100" t="str">
        <f>IF(ISNUMBER('CN &amp; Runoff Volume'!AU22),IF(C10=0,"To be determined",IF(C10&lt;'CN &amp; Runoff Volume'!AU22,"WARNING! DRC does not meet the 10-yr runoff volume",IF(C10&gt;'CN &amp; Runoff Volume'!AU26,"DRC exceeds the 100-yr runoff volume - DRC will be capped to calculate MWRD Contribution","DRC is between the 10- to 100-yr runoff volume"))),"Please fill in CN &amp; Runoff Volume tab")</f>
        <v>Please fill in CN &amp; Runoff Volume tab</v>
      </c>
      <c r="F9" s="101"/>
      <c r="G9" s="101"/>
      <c r="H9" s="101"/>
      <c r="I9" s="102"/>
      <c r="K9" s="97"/>
      <c r="L9" s="97"/>
      <c r="N9" s="8" t="s">
        <v>23</v>
      </c>
      <c r="O9" s="8">
        <v>0.25</v>
      </c>
    </row>
    <row r="10" spans="1:15" ht="15.75" thickBot="1" x14ac:dyDescent="0.3">
      <c r="A10" s="107" t="s">
        <v>70</v>
      </c>
      <c r="B10" s="108"/>
      <c r="C10" s="29">
        <f>SUM(C8:C9)</f>
        <v>0</v>
      </c>
      <c r="D10" s="30" t="s">
        <v>19</v>
      </c>
      <c r="E10" s="103"/>
      <c r="F10" s="104"/>
      <c r="G10" s="104"/>
      <c r="H10" s="104"/>
      <c r="I10" s="105"/>
      <c r="K10" s="97"/>
      <c r="L10" s="97"/>
    </row>
    <row r="11" spans="1:15" ht="15" customHeight="1" x14ac:dyDescent="0.25">
      <c r="A11" s="107" t="s">
        <v>71</v>
      </c>
      <c r="B11" s="108"/>
      <c r="C11" s="29">
        <f>IF(C10&gt;'CN &amp; Runoff Volume'!AU26,'CN &amp; Runoff Volume'!AU26,C10)</f>
        <v>0</v>
      </c>
      <c r="D11" s="30" t="s">
        <v>19</v>
      </c>
      <c r="H11" s="48"/>
      <c r="I11" s="48"/>
      <c r="J11" s="48"/>
      <c r="K11" s="97"/>
      <c r="L11" s="97"/>
      <c r="N11" s="8"/>
      <c r="O11" s="8"/>
    </row>
    <row r="12" spans="1:15" ht="15" x14ac:dyDescent="0.25">
      <c r="A12" s="94" t="s">
        <v>26</v>
      </c>
      <c r="B12" s="94"/>
      <c r="C12" s="58">
        <f>C11-C8</f>
        <v>0</v>
      </c>
      <c r="D12" s="56" t="s">
        <v>19</v>
      </c>
      <c r="H12" s="48"/>
      <c r="I12" s="48"/>
      <c r="K12" s="97"/>
      <c r="L12" s="97"/>
      <c r="N12" s="8"/>
      <c r="O12" s="8"/>
    </row>
    <row r="13" spans="1:15" ht="15" x14ac:dyDescent="0.25">
      <c r="A13" s="113" t="s">
        <v>72</v>
      </c>
      <c r="B13" s="113"/>
      <c r="C13" s="114" t="s">
        <v>73</v>
      </c>
      <c r="D13" s="114"/>
      <c r="E13" s="114" t="s">
        <v>59</v>
      </c>
      <c r="F13" s="114"/>
      <c r="H13" s="48"/>
      <c r="I13" s="48"/>
      <c r="J13" s="45"/>
      <c r="K13" s="97"/>
      <c r="L13" s="97"/>
      <c r="N13" s="8"/>
      <c r="O13" s="8"/>
    </row>
    <row r="14" spans="1:15" ht="15" x14ac:dyDescent="0.25">
      <c r="A14" s="113"/>
      <c r="B14" s="113"/>
      <c r="C14" s="46">
        <f>IF(C8&lt;(0.9*'Final Design DRC'!C8),C8-(0.9*'Final Design DRC'!C8),IF(C8&gt;(1.1*'Final Design DRC'!C8),C8-(1.1*'Final Design DRC'!C8),0))</f>
        <v>0</v>
      </c>
      <c r="D14" s="28" t="s">
        <v>19</v>
      </c>
      <c r="E14" s="46">
        <f>IF(C12&lt;(0.9*'Final Design DRC'!C12),C12-(0.9*'Final Design DRC'!C12),IF(C12&gt;(1.1*'Final Design DRC'!C12),C12-(1.1*'Final Design DRC'!C12),0))</f>
        <v>0</v>
      </c>
      <c r="F14" s="28" t="s">
        <v>19</v>
      </c>
      <c r="H14" s="45"/>
      <c r="I14" s="45"/>
      <c r="K14" s="97"/>
      <c r="L14" s="97"/>
      <c r="N14" s="8"/>
      <c r="O14" s="8"/>
    </row>
    <row r="15" spans="1:15" ht="14.25" x14ac:dyDescent="0.2">
      <c r="A15" s="96" t="s">
        <v>30</v>
      </c>
      <c r="B15" s="96"/>
      <c r="C15" s="109">
        <f>('Final Design DRC'!C8+C14)*'Final Design DRC'!C13+('Final Design DRC'!C12+E14)*'Final Design DRC'!F13</f>
        <v>0</v>
      </c>
      <c r="D15" s="109"/>
      <c r="F15" s="26"/>
      <c r="K15" s="47"/>
      <c r="L15" s="47"/>
    </row>
    <row r="16" spans="1:15" ht="14.25" x14ac:dyDescent="0.2">
      <c r="A16" s="200" t="s">
        <v>142</v>
      </c>
      <c r="B16" s="86"/>
      <c r="C16" s="110"/>
      <c r="D16" s="110"/>
      <c r="E16" s="5"/>
      <c r="F16" s="48"/>
      <c r="G16" s="48"/>
      <c r="H16" s="48"/>
      <c r="I16" s="48"/>
      <c r="K16" s="47"/>
      <c r="L16" s="47"/>
    </row>
    <row r="17" spans="1:14" ht="14.25" x14ac:dyDescent="0.2">
      <c r="A17" s="87" t="s">
        <v>32</v>
      </c>
      <c r="B17" s="87"/>
      <c r="C17" s="61"/>
      <c r="D17" t="s">
        <v>33</v>
      </c>
      <c r="E17" s="90" t="s">
        <v>34</v>
      </c>
      <c r="F17" s="90"/>
      <c r="G17" s="91" t="s">
        <v>35</v>
      </c>
      <c r="H17" s="91"/>
      <c r="I17" s="48"/>
      <c r="K17" s="47"/>
      <c r="L17" s="47"/>
    </row>
    <row r="18" spans="1:14" ht="30" customHeight="1" x14ac:dyDescent="0.25">
      <c r="A18" s="88" t="s">
        <v>74</v>
      </c>
      <c r="B18" s="88"/>
      <c r="C18" s="84">
        <f>MIN(C15,C16*C17,G17)</f>
        <v>0</v>
      </c>
      <c r="D18" s="85"/>
      <c r="E18" s="48"/>
      <c r="F18" s="48"/>
      <c r="G18" s="48"/>
      <c r="H18" s="48"/>
      <c r="I18" s="48"/>
      <c r="K18" s="47"/>
      <c r="L18" s="47"/>
    </row>
    <row r="19" spans="1:14" ht="27" customHeight="1" x14ac:dyDescent="0.2">
      <c r="A19" s="89" t="s">
        <v>75</v>
      </c>
      <c r="B19" s="89"/>
      <c r="C19" s="93"/>
      <c r="D19" s="93"/>
      <c r="E19" s="93"/>
      <c r="F19" s="89" t="s">
        <v>38</v>
      </c>
      <c r="G19" s="89"/>
      <c r="H19" s="78"/>
      <c r="I19" s="78"/>
      <c r="K19" s="47"/>
      <c r="L19" s="47"/>
    </row>
    <row r="20" spans="1:14" x14ac:dyDescent="0.2">
      <c r="B20" s="5"/>
      <c r="K20" s="47"/>
      <c r="L20" s="47"/>
    </row>
    <row r="21" spans="1:14" x14ac:dyDescent="0.2">
      <c r="C21" s="115"/>
      <c r="D21" s="115"/>
      <c r="K21" s="68"/>
      <c r="L21" s="68"/>
    </row>
    <row r="22" spans="1:14" ht="15" x14ac:dyDescent="0.25">
      <c r="A22" s="31" t="s">
        <v>39</v>
      </c>
      <c r="N22" s="14" t="s">
        <v>40</v>
      </c>
    </row>
    <row r="23" spans="1:14" x14ac:dyDescent="0.2">
      <c r="A23" s="77" t="s">
        <v>41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</row>
    <row r="24" spans="1:14" s="4" customFormat="1" ht="25.5" x14ac:dyDescent="0.2">
      <c r="A24" s="18" t="s">
        <v>42</v>
      </c>
      <c r="B24" s="82" t="s">
        <v>43</v>
      </c>
      <c r="C24" s="82"/>
      <c r="D24" s="9" t="s">
        <v>10</v>
      </c>
      <c r="E24" s="9" t="s">
        <v>44</v>
      </c>
      <c r="F24" s="9" t="s">
        <v>45</v>
      </c>
      <c r="G24" s="9" t="s">
        <v>46</v>
      </c>
      <c r="H24" s="9" t="s">
        <v>47</v>
      </c>
      <c r="I24" s="9" t="s">
        <v>48</v>
      </c>
      <c r="J24" s="9" t="s">
        <v>49</v>
      </c>
      <c r="K24" s="9" t="s">
        <v>50</v>
      </c>
      <c r="L24" s="9" t="s">
        <v>51</v>
      </c>
    </row>
    <row r="25" spans="1:14" ht="12.75" customHeight="1" x14ac:dyDescent="0.2">
      <c r="A25" s="3">
        <v>1</v>
      </c>
      <c r="B25" s="80"/>
      <c r="C25" s="80"/>
      <c r="D25" s="10"/>
      <c r="E25" s="15" t="s">
        <v>52</v>
      </c>
      <c r="F25" s="24" cm="1">
        <f t="array" ref="F25">_xlfn.IFS(E25="above invert",0.5,E25="below invert",1,E25="ponding",1,E25=" ",0)</f>
        <v>0</v>
      </c>
      <c r="G25" s="11"/>
      <c r="H25" s="10"/>
      <c r="I25" s="10"/>
      <c r="J25" s="12">
        <f>H25*I25</f>
        <v>0</v>
      </c>
      <c r="K25" s="13">
        <f>D25*G25*J25*F25</f>
        <v>0</v>
      </c>
      <c r="L25" s="79"/>
    </row>
    <row r="26" spans="1:14" x14ac:dyDescent="0.2">
      <c r="A26" s="3">
        <v>2</v>
      </c>
      <c r="B26" s="80"/>
      <c r="C26" s="80"/>
      <c r="D26" s="10"/>
      <c r="E26" s="15" t="s">
        <v>52</v>
      </c>
      <c r="F26" s="24" cm="1">
        <f t="array" ref="F26">_xlfn.IFS(E26="above invert",0.5,E26="below invert",1,E26="ponding",1,E26=" ",0)</f>
        <v>0</v>
      </c>
      <c r="G26" s="11"/>
      <c r="H26" s="10"/>
      <c r="I26" s="10"/>
      <c r="J26" s="12">
        <f t="shared" ref="J26:J29" si="0">H26*I26</f>
        <v>0</v>
      </c>
      <c r="K26" s="13">
        <f>D26*G26*J26*F26</f>
        <v>0</v>
      </c>
      <c r="L26" s="79"/>
    </row>
    <row r="27" spans="1:14" x14ac:dyDescent="0.2">
      <c r="A27" s="3">
        <v>3</v>
      </c>
      <c r="B27" s="80"/>
      <c r="C27" s="80"/>
      <c r="D27" s="10"/>
      <c r="E27" s="15" t="s">
        <v>52</v>
      </c>
      <c r="F27" s="24" cm="1">
        <f t="array" ref="F27">_xlfn.IFS(E27="above invert",0.5,E27="below invert",1,E27="ponding",1,E27=" ",0)</f>
        <v>0</v>
      </c>
      <c r="G27" s="11"/>
      <c r="H27" s="10"/>
      <c r="I27" s="10"/>
      <c r="J27" s="12">
        <f t="shared" si="0"/>
        <v>0</v>
      </c>
      <c r="K27" s="13">
        <f>D27*G27*J27*F27</f>
        <v>0</v>
      </c>
      <c r="L27" s="79"/>
    </row>
    <row r="28" spans="1:14" x14ac:dyDescent="0.2">
      <c r="A28" s="3">
        <v>4</v>
      </c>
      <c r="B28" s="80"/>
      <c r="C28" s="80"/>
      <c r="D28" s="10"/>
      <c r="E28" s="15" t="s">
        <v>52</v>
      </c>
      <c r="F28" s="24" cm="1">
        <f t="array" ref="F28">_xlfn.IFS(E28="above invert",0.5,E28="below invert",1,E28="ponding",1,E28=" ",0)</f>
        <v>0</v>
      </c>
      <c r="G28" s="11"/>
      <c r="H28" s="10"/>
      <c r="I28" s="10"/>
      <c r="J28" s="12">
        <f t="shared" si="0"/>
        <v>0</v>
      </c>
      <c r="K28" s="13">
        <f>D28*G28*J28*F28</f>
        <v>0</v>
      </c>
      <c r="L28" s="79"/>
    </row>
    <row r="29" spans="1:14" x14ac:dyDescent="0.2">
      <c r="A29" s="3">
        <v>5</v>
      </c>
      <c r="B29" s="80"/>
      <c r="C29" s="80"/>
      <c r="D29" s="10"/>
      <c r="E29" s="15" t="s">
        <v>52</v>
      </c>
      <c r="F29" s="24" cm="1">
        <f t="array" ref="F29">_xlfn.IFS(E29="above invert",0.5,E29="below invert",1,E29="ponding",1,E29=" ",0)</f>
        <v>0</v>
      </c>
      <c r="G29" s="10"/>
      <c r="H29" s="10"/>
      <c r="I29" s="10"/>
      <c r="J29" s="12">
        <f t="shared" si="0"/>
        <v>0</v>
      </c>
      <c r="K29" s="13">
        <f>D29*G29*J29*F29</f>
        <v>0</v>
      </c>
      <c r="L29" s="79"/>
    </row>
    <row r="30" spans="1:14" x14ac:dyDescent="0.2">
      <c r="J30" s="62" t="s">
        <v>53</v>
      </c>
      <c r="K30" s="13">
        <f>SUM(K25:K29)</f>
        <v>0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J31" s="17" t="s">
        <v>54</v>
      </c>
      <c r="K31" s="16">
        <f>K30*7.48</f>
        <v>0</v>
      </c>
      <c r="L31" s="79"/>
    </row>
    <row r="32" spans="1:14" x14ac:dyDescent="0.2">
      <c r="C32" s="14"/>
      <c r="D32" s="14"/>
      <c r="E32" s="14"/>
      <c r="F32" s="14"/>
      <c r="G32" s="14"/>
      <c r="H32" s="14"/>
      <c r="I32" s="14"/>
      <c r="K32" s="17"/>
      <c r="L32" s="17"/>
    </row>
    <row r="33" spans="1:14" x14ac:dyDescent="0.2">
      <c r="A33" s="77" t="s">
        <v>55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9" t="s">
        <v>51</v>
      </c>
    </row>
    <row r="34" spans="1:14" x14ac:dyDescent="0.2">
      <c r="A34" s="76" t="s">
        <v>56</v>
      </c>
      <c r="B34" s="76"/>
      <c r="C34" s="76"/>
      <c r="D34" s="76"/>
      <c r="E34" s="76"/>
      <c r="F34" s="76"/>
      <c r="G34" s="76"/>
      <c r="H34" s="76"/>
      <c r="I34" s="76"/>
      <c r="J34" s="76"/>
      <c r="K34" s="32"/>
      <c r="L34" s="20"/>
    </row>
    <row r="35" spans="1:14" x14ac:dyDescent="0.2">
      <c r="A35" s="81" t="s">
        <v>57</v>
      </c>
      <c r="B35" s="81"/>
      <c r="C35" s="81"/>
      <c r="D35" s="81"/>
      <c r="E35" s="81"/>
      <c r="F35" s="81"/>
      <c r="G35" s="81"/>
      <c r="H35" s="81"/>
      <c r="I35" s="81"/>
      <c r="J35" s="81"/>
      <c r="K35" s="32"/>
      <c r="L35" s="20"/>
    </row>
    <row r="36" spans="1:14" ht="25.5" customHeight="1" x14ac:dyDescent="0.2">
      <c r="A36" s="76" t="s">
        <v>58</v>
      </c>
      <c r="B36" s="76"/>
      <c r="C36" s="76"/>
      <c r="D36" s="76"/>
      <c r="E36" s="76"/>
      <c r="F36" s="76"/>
      <c r="G36" s="76"/>
      <c r="H36" s="76"/>
      <c r="I36" s="76"/>
      <c r="J36" s="76"/>
      <c r="K36" s="33">
        <f>K34-K35</f>
        <v>0</v>
      </c>
      <c r="L36" s="20"/>
    </row>
    <row r="37" spans="1:14" x14ac:dyDescent="0.2">
      <c r="C37" s="14"/>
      <c r="D37" s="14"/>
      <c r="E37" s="14"/>
      <c r="F37" s="14"/>
      <c r="G37" s="14"/>
      <c r="H37" s="14"/>
      <c r="I37" s="14"/>
      <c r="K37" s="17"/>
      <c r="L37" s="17"/>
    </row>
    <row r="38" spans="1:14" x14ac:dyDescent="0.2">
      <c r="A38" s="77" t="s">
        <v>59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9" t="s">
        <v>51</v>
      </c>
    </row>
    <row r="39" spans="1:14" ht="25.5" customHeight="1" x14ac:dyDescent="0.2">
      <c r="A39" s="76" t="s">
        <v>60</v>
      </c>
      <c r="B39" s="76"/>
      <c r="C39" s="76"/>
      <c r="D39" s="76"/>
      <c r="E39" s="76"/>
      <c r="F39" s="76"/>
      <c r="G39" s="76"/>
      <c r="H39" s="76"/>
      <c r="I39" s="76"/>
      <c r="J39" s="76"/>
      <c r="K39" s="32"/>
      <c r="L39" s="20"/>
    </row>
    <row r="40" spans="1:14" x14ac:dyDescent="0.2">
      <c r="A40" s="63"/>
      <c r="B40" s="63"/>
      <c r="C40" s="63"/>
      <c r="D40" s="63"/>
      <c r="E40" s="63"/>
      <c r="F40" s="63"/>
      <c r="G40" s="63"/>
      <c r="H40" s="63"/>
      <c r="I40" s="63"/>
      <c r="J40" s="62" t="s">
        <v>61</v>
      </c>
      <c r="K40" s="34">
        <f>IF(K39&gt;3.6,3.6,K39)</f>
        <v>0</v>
      </c>
      <c r="L40" s="20"/>
    </row>
    <row r="41" spans="1:14" x14ac:dyDescent="0.2">
      <c r="A41" s="81" t="s">
        <v>62</v>
      </c>
      <c r="B41" s="81"/>
      <c r="C41" s="81"/>
      <c r="D41" s="81"/>
      <c r="E41" s="81"/>
      <c r="F41" s="81"/>
      <c r="G41" s="81"/>
      <c r="H41" s="81"/>
      <c r="I41" s="81"/>
      <c r="J41" s="81" t="s">
        <v>62</v>
      </c>
      <c r="K41" s="32"/>
      <c r="L41" s="20"/>
    </row>
    <row r="42" spans="1:14" x14ac:dyDescent="0.2">
      <c r="A42" s="81" t="s">
        <v>63</v>
      </c>
      <c r="B42" s="81"/>
      <c r="C42" s="81"/>
      <c r="D42" s="81"/>
      <c r="E42" s="81"/>
      <c r="F42" s="81"/>
      <c r="G42" s="81"/>
      <c r="H42" s="81"/>
      <c r="I42" s="81"/>
      <c r="J42" s="81"/>
      <c r="K42" s="34">
        <f>K40*K41*6/12</f>
        <v>0</v>
      </c>
      <c r="L42" s="20"/>
    </row>
    <row r="43" spans="1:14" ht="13.5" customHeight="1" x14ac:dyDescent="0.2">
      <c r="A43" s="63"/>
      <c r="B43" s="62"/>
      <c r="C43" s="62"/>
      <c r="D43" s="62"/>
      <c r="E43" s="62"/>
      <c r="F43" s="62"/>
      <c r="G43" s="62"/>
      <c r="H43" s="62"/>
      <c r="I43" s="62"/>
      <c r="J43" s="17" t="s">
        <v>64</v>
      </c>
      <c r="K43" s="35">
        <f>K42*7.48</f>
        <v>0</v>
      </c>
      <c r="L43" s="20"/>
    </row>
    <row r="45" spans="1:14" ht="15.75" x14ac:dyDescent="0.25">
      <c r="A45" s="31" t="s">
        <v>65</v>
      </c>
      <c r="C45" s="2"/>
      <c r="N45" s="14" t="s">
        <v>40</v>
      </c>
    </row>
    <row r="46" spans="1:14" x14ac:dyDescent="0.2">
      <c r="A46" s="77" t="s">
        <v>41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</row>
    <row r="47" spans="1:14" s="4" customFormat="1" ht="25.5" x14ac:dyDescent="0.2">
      <c r="A47" s="18" t="s">
        <v>42</v>
      </c>
      <c r="B47" s="82" t="s">
        <v>43</v>
      </c>
      <c r="C47" s="82"/>
      <c r="D47" s="9" t="s">
        <v>10</v>
      </c>
      <c r="E47" s="9" t="s">
        <v>44</v>
      </c>
      <c r="F47" s="9" t="s">
        <v>45</v>
      </c>
      <c r="G47" s="9" t="s">
        <v>46</v>
      </c>
      <c r="H47" s="9" t="s">
        <v>47</v>
      </c>
      <c r="I47" s="9" t="s">
        <v>48</v>
      </c>
      <c r="J47" s="9" t="s">
        <v>49</v>
      </c>
      <c r="K47" s="9" t="s">
        <v>50</v>
      </c>
      <c r="L47" s="9" t="s">
        <v>51</v>
      </c>
    </row>
    <row r="48" spans="1:14" ht="12.75" customHeight="1" x14ac:dyDescent="0.2">
      <c r="A48" s="3">
        <v>1</v>
      </c>
      <c r="B48" s="80"/>
      <c r="C48" s="80"/>
      <c r="D48" s="10"/>
      <c r="E48" s="15" t="s">
        <v>52</v>
      </c>
      <c r="F48" s="24" cm="1">
        <f t="array" ref="F48">_xlfn.IFS(E48="above invert",0.5,E48="below invert",1,E48="ponding",1,E48=" ",0)</f>
        <v>0</v>
      </c>
      <c r="G48" s="11"/>
      <c r="H48" s="10"/>
      <c r="I48" s="10"/>
      <c r="J48" s="12">
        <f>H48*I48</f>
        <v>0</v>
      </c>
      <c r="K48" s="13">
        <f>D48*G48*J48*F48</f>
        <v>0</v>
      </c>
      <c r="L48" s="79"/>
    </row>
    <row r="49" spans="1:12" x14ac:dyDescent="0.2">
      <c r="A49" s="3">
        <v>2</v>
      </c>
      <c r="B49" s="80"/>
      <c r="C49" s="80"/>
      <c r="D49" s="10"/>
      <c r="E49" s="15" t="s">
        <v>52</v>
      </c>
      <c r="F49" s="24" cm="1">
        <f t="array" ref="F49">_xlfn.IFS(E49="above invert",0.5,E49="below invert",1,E49="ponding",1,E49=" ",0)</f>
        <v>0</v>
      </c>
      <c r="G49" s="11"/>
      <c r="H49" s="10"/>
      <c r="I49" s="10"/>
      <c r="J49" s="12">
        <f t="shared" ref="J49:J52" si="1">H49*I49</f>
        <v>0</v>
      </c>
      <c r="K49" s="13">
        <f>D49*G49*J49*F49</f>
        <v>0</v>
      </c>
      <c r="L49" s="79"/>
    </row>
    <row r="50" spans="1:12" x14ac:dyDescent="0.2">
      <c r="A50" s="3">
        <v>3</v>
      </c>
      <c r="B50" s="80"/>
      <c r="C50" s="80"/>
      <c r="D50" s="10"/>
      <c r="E50" s="15" t="s">
        <v>52</v>
      </c>
      <c r="F50" s="24" cm="1">
        <f t="array" ref="F50">_xlfn.IFS(E50="above invert",0.5,E50="below invert",1,E50="ponding",1,E50=" ",0)</f>
        <v>0</v>
      </c>
      <c r="G50" s="11"/>
      <c r="H50" s="10"/>
      <c r="I50" s="10"/>
      <c r="J50" s="12">
        <f t="shared" si="1"/>
        <v>0</v>
      </c>
      <c r="K50" s="13">
        <f>D50*G50*J50*F50</f>
        <v>0</v>
      </c>
      <c r="L50" s="79"/>
    </row>
    <row r="51" spans="1:12" x14ac:dyDescent="0.2">
      <c r="A51" s="3">
        <v>4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1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A52" s="3">
        <v>5</v>
      </c>
      <c r="B52" s="80"/>
      <c r="C52" s="80"/>
      <c r="D52" s="10"/>
      <c r="E52" s="15" t="s">
        <v>52</v>
      </c>
      <c r="F52" s="24" cm="1">
        <f t="array" ref="F52">_xlfn.IFS(E52="above invert",0.5,E52="below invert",1,E52="ponding",1,E52=" ",0)</f>
        <v>0</v>
      </c>
      <c r="G52" s="10"/>
      <c r="H52" s="10"/>
      <c r="I52" s="10"/>
      <c r="J52" s="12">
        <f t="shared" si="1"/>
        <v>0</v>
      </c>
      <c r="K52" s="13">
        <f>D52*G52*J52*F52</f>
        <v>0</v>
      </c>
      <c r="L52" s="79"/>
    </row>
    <row r="53" spans="1:12" x14ac:dyDescent="0.2">
      <c r="J53" s="62" t="s">
        <v>53</v>
      </c>
      <c r="K53" s="13">
        <f>SUM(K48:K52)</f>
        <v>0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J54" s="17" t="s">
        <v>54</v>
      </c>
      <c r="K54" s="16">
        <f>K53*7.48</f>
        <v>0</v>
      </c>
      <c r="L54" s="79"/>
    </row>
    <row r="55" spans="1:12" x14ac:dyDescent="0.2">
      <c r="C55" s="14"/>
      <c r="D55" s="14"/>
      <c r="E55" s="14"/>
      <c r="F55" s="14"/>
      <c r="G55" s="14"/>
      <c r="H55" s="14"/>
      <c r="I55" s="14"/>
      <c r="K55" s="17"/>
      <c r="L55" s="17"/>
    </row>
    <row r="56" spans="1:12" x14ac:dyDescent="0.2">
      <c r="A56" s="77" t="s">
        <v>55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9" t="s">
        <v>51</v>
      </c>
    </row>
    <row r="57" spans="1:12" x14ac:dyDescent="0.2">
      <c r="A57" s="76" t="s">
        <v>56</v>
      </c>
      <c r="B57" s="76"/>
      <c r="C57" s="76"/>
      <c r="D57" s="76"/>
      <c r="E57" s="76"/>
      <c r="F57" s="76"/>
      <c r="G57" s="76"/>
      <c r="H57" s="76"/>
      <c r="I57" s="76"/>
      <c r="J57" s="76"/>
      <c r="K57" s="32"/>
      <c r="L57" s="20"/>
    </row>
    <row r="58" spans="1:12" x14ac:dyDescent="0.2">
      <c r="A58" s="81" t="s">
        <v>57</v>
      </c>
      <c r="B58" s="81"/>
      <c r="C58" s="81"/>
      <c r="D58" s="81"/>
      <c r="E58" s="81"/>
      <c r="F58" s="81"/>
      <c r="G58" s="81"/>
      <c r="H58" s="81"/>
      <c r="I58" s="81"/>
      <c r="J58" s="81"/>
      <c r="K58" s="32"/>
      <c r="L58" s="20"/>
    </row>
    <row r="59" spans="1:12" ht="25.5" customHeight="1" x14ac:dyDescent="0.2">
      <c r="A59" s="76" t="s">
        <v>58</v>
      </c>
      <c r="B59" s="76"/>
      <c r="C59" s="76"/>
      <c r="D59" s="76"/>
      <c r="E59" s="76"/>
      <c r="F59" s="76"/>
      <c r="G59" s="76"/>
      <c r="H59" s="76"/>
      <c r="I59" s="76"/>
      <c r="J59" s="76"/>
      <c r="K59" s="33">
        <f>K57-K58</f>
        <v>0</v>
      </c>
      <c r="L59" s="20"/>
    </row>
    <row r="60" spans="1:12" x14ac:dyDescent="0.2">
      <c r="C60" s="14"/>
      <c r="D60" s="14"/>
      <c r="E60" s="14"/>
      <c r="F60" s="14"/>
      <c r="G60" s="14"/>
      <c r="H60" s="14"/>
      <c r="I60" s="14"/>
      <c r="K60" s="17"/>
      <c r="L60" s="17"/>
    </row>
    <row r="61" spans="1:12" x14ac:dyDescent="0.2">
      <c r="A61" s="77" t="s">
        <v>59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9" t="s">
        <v>51</v>
      </c>
    </row>
    <row r="62" spans="1:12" ht="25.5" customHeight="1" x14ac:dyDescent="0.2">
      <c r="A62" s="76" t="s">
        <v>60</v>
      </c>
      <c r="B62" s="76"/>
      <c r="C62" s="76"/>
      <c r="D62" s="76"/>
      <c r="E62" s="76"/>
      <c r="F62" s="76"/>
      <c r="G62" s="76"/>
      <c r="H62" s="76"/>
      <c r="I62" s="76"/>
      <c r="J62" s="76"/>
      <c r="K62" s="32"/>
      <c r="L62" s="20"/>
    </row>
    <row r="63" spans="1:12" x14ac:dyDescent="0.2">
      <c r="A63" s="63"/>
      <c r="B63" s="63"/>
      <c r="C63" s="63"/>
      <c r="D63" s="63"/>
      <c r="E63" s="63"/>
      <c r="F63" s="63"/>
      <c r="G63" s="63"/>
      <c r="H63" s="63"/>
      <c r="I63" s="63"/>
      <c r="J63" s="62" t="s">
        <v>61</v>
      </c>
      <c r="K63" s="34">
        <f>IF(K62&gt;3.6,3.6,K62)</f>
        <v>0</v>
      </c>
      <c r="L63" s="20"/>
    </row>
    <row r="64" spans="1:12" x14ac:dyDescent="0.2">
      <c r="A64" s="81" t="s">
        <v>62</v>
      </c>
      <c r="B64" s="81"/>
      <c r="C64" s="81"/>
      <c r="D64" s="81"/>
      <c r="E64" s="81"/>
      <c r="F64" s="81"/>
      <c r="G64" s="81"/>
      <c r="H64" s="81"/>
      <c r="I64" s="81"/>
      <c r="J64" s="81" t="s">
        <v>62</v>
      </c>
      <c r="K64" s="32"/>
      <c r="L64" s="20"/>
    </row>
    <row r="65" spans="1:14" x14ac:dyDescent="0.2">
      <c r="A65" s="81" t="s">
        <v>63</v>
      </c>
      <c r="B65" s="81"/>
      <c r="C65" s="81"/>
      <c r="D65" s="81"/>
      <c r="E65" s="81"/>
      <c r="F65" s="81"/>
      <c r="G65" s="81"/>
      <c r="H65" s="81"/>
      <c r="I65" s="81"/>
      <c r="J65" s="81"/>
      <c r="K65" s="34">
        <f>K63*K64*6/12</f>
        <v>0</v>
      </c>
      <c r="L65" s="20"/>
    </row>
    <row r="66" spans="1:14" ht="13.5" customHeight="1" x14ac:dyDescent="0.2">
      <c r="A66" s="63"/>
      <c r="B66" s="62"/>
      <c r="C66" s="62"/>
      <c r="D66" s="62"/>
      <c r="E66" s="62"/>
      <c r="F66" s="62"/>
      <c r="G66" s="62"/>
      <c r="H66" s="62"/>
      <c r="I66" s="62"/>
      <c r="J66" s="17" t="s">
        <v>64</v>
      </c>
      <c r="K66" s="35">
        <f>K65*7.48</f>
        <v>0</v>
      </c>
      <c r="L66" s="20"/>
    </row>
    <row r="68" spans="1:14" ht="15.75" x14ac:dyDescent="0.25">
      <c r="A68" s="31" t="s">
        <v>66</v>
      </c>
      <c r="C68" s="2"/>
      <c r="N68" s="14" t="s">
        <v>40</v>
      </c>
    </row>
    <row r="69" spans="1:14" x14ac:dyDescent="0.2">
      <c r="A69" s="77" t="s">
        <v>41</v>
      </c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</row>
    <row r="70" spans="1:14" s="4" customFormat="1" ht="25.5" x14ac:dyDescent="0.2">
      <c r="A70" s="18" t="s">
        <v>42</v>
      </c>
      <c r="B70" s="82" t="s">
        <v>43</v>
      </c>
      <c r="C70" s="82"/>
      <c r="D70" s="9" t="s">
        <v>10</v>
      </c>
      <c r="E70" s="9" t="s">
        <v>44</v>
      </c>
      <c r="F70" s="9" t="s">
        <v>45</v>
      </c>
      <c r="G70" s="9" t="s">
        <v>46</v>
      </c>
      <c r="H70" s="9" t="s">
        <v>47</v>
      </c>
      <c r="I70" s="9" t="s">
        <v>48</v>
      </c>
      <c r="J70" s="9" t="s">
        <v>49</v>
      </c>
      <c r="K70" s="9" t="s">
        <v>50</v>
      </c>
      <c r="L70" s="9" t="s">
        <v>51</v>
      </c>
    </row>
    <row r="71" spans="1:14" ht="12.75" customHeight="1" x14ac:dyDescent="0.2">
      <c r="A71" s="3">
        <v>1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>H71*I71</f>
        <v>0</v>
      </c>
      <c r="K71" s="13">
        <f>D71*G71*J71*F71</f>
        <v>0</v>
      </c>
      <c r="L71" s="79"/>
    </row>
    <row r="72" spans="1:14" x14ac:dyDescent="0.2">
      <c r="A72" s="3">
        <v>2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ref="J72:J75" si="2">H72*I72</f>
        <v>0</v>
      </c>
      <c r="K72" s="13">
        <f>D72*G72*J72*F72</f>
        <v>0</v>
      </c>
      <c r="L72" s="79"/>
    </row>
    <row r="73" spans="1:14" x14ac:dyDescent="0.2">
      <c r="A73" s="3">
        <v>3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4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1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A75" s="3">
        <v>5</v>
      </c>
      <c r="B75" s="80"/>
      <c r="C75" s="80"/>
      <c r="D75" s="10"/>
      <c r="E75" s="15" t="s">
        <v>52</v>
      </c>
      <c r="F75" s="24" cm="1">
        <f t="array" ref="F75">_xlfn.IFS(E75="above invert",0.5,E75="below invert",1,E75="ponding",1,E75=" ",0)</f>
        <v>0</v>
      </c>
      <c r="G75" s="10"/>
      <c r="H75" s="10"/>
      <c r="I75" s="10"/>
      <c r="J75" s="12">
        <f t="shared" si="2"/>
        <v>0</v>
      </c>
      <c r="K75" s="13">
        <f>D75*G75*J75*F75</f>
        <v>0</v>
      </c>
      <c r="L75" s="79"/>
    </row>
    <row r="76" spans="1:14" x14ac:dyDescent="0.2">
      <c r="J76" s="62" t="s">
        <v>53</v>
      </c>
      <c r="K76" s="13">
        <f>SUM(K71:K75)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J77" s="17" t="s">
        <v>54</v>
      </c>
      <c r="K77" s="16">
        <f>K76*7.48</f>
        <v>0</v>
      </c>
      <c r="L77" s="79"/>
    </row>
    <row r="78" spans="1:14" x14ac:dyDescent="0.2">
      <c r="C78" s="14"/>
      <c r="D78" s="14"/>
      <c r="E78" s="14"/>
      <c r="F78" s="14"/>
      <c r="G78" s="14"/>
      <c r="H78" s="14"/>
      <c r="I78" s="14"/>
      <c r="K78" s="17"/>
      <c r="L78" s="17"/>
    </row>
    <row r="79" spans="1:14" x14ac:dyDescent="0.2">
      <c r="A79" s="77" t="s">
        <v>55</v>
      </c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9" t="s">
        <v>51</v>
      </c>
    </row>
    <row r="80" spans="1:14" x14ac:dyDescent="0.2">
      <c r="A80" s="76" t="s">
        <v>56</v>
      </c>
      <c r="B80" s="76"/>
      <c r="C80" s="76"/>
      <c r="D80" s="76"/>
      <c r="E80" s="76"/>
      <c r="F80" s="76"/>
      <c r="G80" s="76"/>
      <c r="H80" s="76"/>
      <c r="I80" s="76"/>
      <c r="J80" s="76"/>
      <c r="K80" s="32"/>
      <c r="L80" s="20"/>
    </row>
    <row r="81" spans="1:14" x14ac:dyDescent="0.2">
      <c r="A81" s="81" t="s">
        <v>57</v>
      </c>
      <c r="B81" s="81"/>
      <c r="C81" s="81"/>
      <c r="D81" s="81"/>
      <c r="E81" s="81"/>
      <c r="F81" s="81"/>
      <c r="G81" s="81"/>
      <c r="H81" s="81"/>
      <c r="I81" s="81"/>
      <c r="J81" s="81"/>
      <c r="K81" s="32"/>
      <c r="L81" s="20"/>
    </row>
    <row r="82" spans="1:14" ht="25.5" customHeight="1" x14ac:dyDescent="0.2">
      <c r="A82" s="76" t="s">
        <v>58</v>
      </c>
      <c r="B82" s="76"/>
      <c r="C82" s="76"/>
      <c r="D82" s="76"/>
      <c r="E82" s="76"/>
      <c r="F82" s="76"/>
      <c r="G82" s="76"/>
      <c r="H82" s="76"/>
      <c r="I82" s="76"/>
      <c r="J82" s="76"/>
      <c r="K82" s="33">
        <f>K80-K81</f>
        <v>0</v>
      </c>
      <c r="L82" s="20"/>
    </row>
    <row r="83" spans="1:14" x14ac:dyDescent="0.2">
      <c r="C83" s="14"/>
      <c r="D83" s="14"/>
      <c r="E83" s="14"/>
      <c r="F83" s="14"/>
      <c r="G83" s="14"/>
      <c r="H83" s="14"/>
      <c r="I83" s="14"/>
      <c r="K83" s="17"/>
      <c r="L83" s="17"/>
    </row>
    <row r="84" spans="1:14" x14ac:dyDescent="0.2">
      <c r="A84" s="77" t="s">
        <v>59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9" t="s">
        <v>51</v>
      </c>
    </row>
    <row r="85" spans="1:14" ht="25.5" customHeight="1" x14ac:dyDescent="0.2">
      <c r="A85" s="76" t="s">
        <v>60</v>
      </c>
      <c r="B85" s="76"/>
      <c r="C85" s="76"/>
      <c r="D85" s="76"/>
      <c r="E85" s="76"/>
      <c r="F85" s="76"/>
      <c r="G85" s="76"/>
      <c r="H85" s="76"/>
      <c r="I85" s="76"/>
      <c r="J85" s="76"/>
      <c r="K85" s="32"/>
      <c r="L85" s="20"/>
    </row>
    <row r="86" spans="1:14" x14ac:dyDescent="0.2">
      <c r="A86" s="63"/>
      <c r="B86" s="63"/>
      <c r="C86" s="63"/>
      <c r="D86" s="63"/>
      <c r="E86" s="63"/>
      <c r="F86" s="63"/>
      <c r="G86" s="63"/>
      <c r="H86" s="63"/>
      <c r="I86" s="63"/>
      <c r="J86" s="62" t="s">
        <v>61</v>
      </c>
      <c r="K86" s="34">
        <f>IF(K85&gt;3.6,3.6,K85)</f>
        <v>0</v>
      </c>
      <c r="L86" s="20"/>
    </row>
    <row r="87" spans="1:14" x14ac:dyDescent="0.2">
      <c r="A87" s="81" t="s">
        <v>62</v>
      </c>
      <c r="B87" s="81"/>
      <c r="C87" s="81"/>
      <c r="D87" s="81"/>
      <c r="E87" s="81"/>
      <c r="F87" s="81"/>
      <c r="G87" s="81"/>
      <c r="H87" s="81"/>
      <c r="I87" s="81"/>
      <c r="J87" s="81" t="s">
        <v>62</v>
      </c>
      <c r="K87" s="32"/>
      <c r="L87" s="20"/>
    </row>
    <row r="88" spans="1:14" x14ac:dyDescent="0.2">
      <c r="A88" s="81" t="s">
        <v>63</v>
      </c>
      <c r="B88" s="81"/>
      <c r="C88" s="81"/>
      <c r="D88" s="81"/>
      <c r="E88" s="81"/>
      <c r="F88" s="81"/>
      <c r="G88" s="81"/>
      <c r="H88" s="81"/>
      <c r="I88" s="81"/>
      <c r="J88" s="81"/>
      <c r="K88" s="34">
        <f>K86*K87*6/12</f>
        <v>0</v>
      </c>
      <c r="L88" s="20"/>
    </row>
    <row r="89" spans="1:14" ht="13.5" customHeight="1" x14ac:dyDescent="0.2">
      <c r="A89" s="63"/>
      <c r="B89" s="62"/>
      <c r="C89" s="62"/>
      <c r="D89" s="62"/>
      <c r="E89" s="62"/>
      <c r="F89" s="62"/>
      <c r="G89" s="62"/>
      <c r="H89" s="62"/>
      <c r="I89" s="62"/>
      <c r="J89" s="17" t="s">
        <v>64</v>
      </c>
      <c r="K89" s="35">
        <f>K88*7.48</f>
        <v>0</v>
      </c>
      <c r="L89" s="20"/>
    </row>
    <row r="91" spans="1:14" ht="15.75" x14ac:dyDescent="0.25">
      <c r="A91" s="31" t="s">
        <v>67</v>
      </c>
      <c r="C91" s="2"/>
      <c r="N91" s="14" t="s">
        <v>40</v>
      </c>
    </row>
    <row r="92" spans="1:14" x14ac:dyDescent="0.2">
      <c r="A92" s="77" t="s">
        <v>41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</row>
    <row r="93" spans="1:14" s="4" customFormat="1" ht="25.5" x14ac:dyDescent="0.2">
      <c r="A93" s="18" t="s">
        <v>42</v>
      </c>
      <c r="B93" s="82" t="s">
        <v>43</v>
      </c>
      <c r="C93" s="82"/>
      <c r="D93" s="9" t="s">
        <v>10</v>
      </c>
      <c r="E93" s="9" t="s">
        <v>44</v>
      </c>
      <c r="F93" s="9" t="s">
        <v>45</v>
      </c>
      <c r="G93" s="9" t="s">
        <v>46</v>
      </c>
      <c r="H93" s="9" t="s">
        <v>47</v>
      </c>
      <c r="I93" s="9" t="s">
        <v>48</v>
      </c>
      <c r="J93" s="9" t="s">
        <v>49</v>
      </c>
      <c r="K93" s="9" t="s">
        <v>50</v>
      </c>
      <c r="L93" s="9" t="s">
        <v>51</v>
      </c>
    </row>
    <row r="94" spans="1:14" ht="12.75" customHeight="1" x14ac:dyDescent="0.2">
      <c r="A94" s="3">
        <v>1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>H94*I94</f>
        <v>0</v>
      </c>
      <c r="K94" s="13">
        <f>D94*G94*J94*F94</f>
        <v>0</v>
      </c>
      <c r="L94" s="79"/>
    </row>
    <row r="95" spans="1:14" x14ac:dyDescent="0.2">
      <c r="A95" s="3">
        <v>2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ref="J95:J98" si="3">H95*I95</f>
        <v>0</v>
      </c>
      <c r="K95" s="13">
        <f>D95*G95*J95*F95</f>
        <v>0</v>
      </c>
      <c r="L95" s="79"/>
    </row>
    <row r="96" spans="1:14" x14ac:dyDescent="0.2">
      <c r="A96" s="3">
        <v>3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4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1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A98" s="3">
        <v>5</v>
      </c>
      <c r="B98" s="80"/>
      <c r="C98" s="80"/>
      <c r="D98" s="10"/>
      <c r="E98" s="15" t="s">
        <v>52</v>
      </c>
      <c r="F98" s="24" cm="1">
        <f t="array" ref="F98">_xlfn.IFS(E98="above invert",0.5,E98="below invert",1,E98="ponding",1,E98=" ",0)</f>
        <v>0</v>
      </c>
      <c r="G98" s="10"/>
      <c r="H98" s="10"/>
      <c r="I98" s="10"/>
      <c r="J98" s="12">
        <f t="shared" si="3"/>
        <v>0</v>
      </c>
      <c r="K98" s="13">
        <f>D98*G98*J98*F98</f>
        <v>0</v>
      </c>
      <c r="L98" s="79"/>
    </row>
    <row r="99" spans="1:12" x14ac:dyDescent="0.2">
      <c r="J99" s="62" t="s">
        <v>53</v>
      </c>
      <c r="K99" s="13">
        <f>SUM(K94:K98)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J100" s="17" t="s">
        <v>54</v>
      </c>
      <c r="K100" s="16">
        <f>K99*7.48</f>
        <v>0</v>
      </c>
      <c r="L100" s="79"/>
    </row>
    <row r="101" spans="1:12" x14ac:dyDescent="0.2">
      <c r="C101" s="14"/>
      <c r="D101" s="14"/>
      <c r="E101" s="14"/>
      <c r="F101" s="14"/>
      <c r="G101" s="14"/>
      <c r="H101" s="14"/>
      <c r="I101" s="14"/>
      <c r="K101" s="17"/>
      <c r="L101" s="17"/>
    </row>
    <row r="102" spans="1:12" x14ac:dyDescent="0.2">
      <c r="A102" s="77" t="s">
        <v>55</v>
      </c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9" t="s">
        <v>51</v>
      </c>
    </row>
    <row r="103" spans="1:12" x14ac:dyDescent="0.2">
      <c r="A103" s="76" t="s">
        <v>56</v>
      </c>
      <c r="B103" s="76"/>
      <c r="C103" s="76"/>
      <c r="D103" s="76"/>
      <c r="E103" s="76"/>
      <c r="F103" s="76"/>
      <c r="G103" s="76"/>
      <c r="H103" s="76"/>
      <c r="I103" s="76"/>
      <c r="J103" s="76"/>
      <c r="K103" s="32"/>
      <c r="L103" s="20"/>
    </row>
    <row r="104" spans="1:12" x14ac:dyDescent="0.2">
      <c r="A104" s="81" t="s">
        <v>57</v>
      </c>
      <c r="B104" s="81"/>
      <c r="C104" s="81"/>
      <c r="D104" s="81"/>
      <c r="E104" s="81"/>
      <c r="F104" s="81"/>
      <c r="G104" s="81"/>
      <c r="H104" s="81"/>
      <c r="I104" s="81"/>
      <c r="J104" s="81"/>
      <c r="K104" s="32"/>
      <c r="L104" s="20"/>
    </row>
    <row r="105" spans="1:12" ht="25.5" customHeight="1" x14ac:dyDescent="0.2">
      <c r="A105" s="76" t="s">
        <v>58</v>
      </c>
      <c r="B105" s="76"/>
      <c r="C105" s="76"/>
      <c r="D105" s="76"/>
      <c r="E105" s="76"/>
      <c r="F105" s="76"/>
      <c r="G105" s="76"/>
      <c r="H105" s="76"/>
      <c r="I105" s="76"/>
      <c r="J105" s="76"/>
      <c r="K105" s="33">
        <f>K103-K104</f>
        <v>0</v>
      </c>
      <c r="L105" s="20"/>
    </row>
    <row r="106" spans="1:12" x14ac:dyDescent="0.2">
      <c r="C106" s="14"/>
      <c r="D106" s="14"/>
      <c r="E106" s="14"/>
      <c r="F106" s="14"/>
      <c r="G106" s="14"/>
      <c r="H106" s="14"/>
      <c r="I106" s="14"/>
      <c r="K106" s="17"/>
      <c r="L106" s="17"/>
    </row>
    <row r="107" spans="1:12" x14ac:dyDescent="0.2">
      <c r="A107" s="77" t="s">
        <v>59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9" t="s">
        <v>51</v>
      </c>
    </row>
    <row r="108" spans="1:12" ht="25.5" customHeight="1" x14ac:dyDescent="0.2">
      <c r="A108" s="76" t="s">
        <v>60</v>
      </c>
      <c r="B108" s="76"/>
      <c r="C108" s="76"/>
      <c r="D108" s="76"/>
      <c r="E108" s="76"/>
      <c r="F108" s="76"/>
      <c r="G108" s="76"/>
      <c r="H108" s="76"/>
      <c r="I108" s="76"/>
      <c r="J108" s="76"/>
      <c r="K108" s="32"/>
      <c r="L108" s="20"/>
    </row>
    <row r="109" spans="1:12" x14ac:dyDescent="0.2">
      <c r="A109" s="63"/>
      <c r="B109" s="63"/>
      <c r="C109" s="63"/>
      <c r="D109" s="63"/>
      <c r="E109" s="63"/>
      <c r="F109" s="63"/>
      <c r="G109" s="63"/>
      <c r="H109" s="63"/>
      <c r="I109" s="63"/>
      <c r="J109" s="62" t="s">
        <v>61</v>
      </c>
      <c r="K109" s="34">
        <f>IF(K108&gt;3.6,3.6,K108)</f>
        <v>0</v>
      </c>
      <c r="L109" s="20"/>
    </row>
    <row r="110" spans="1:12" x14ac:dyDescent="0.2">
      <c r="A110" s="81" t="s">
        <v>62</v>
      </c>
      <c r="B110" s="81"/>
      <c r="C110" s="81"/>
      <c r="D110" s="81"/>
      <c r="E110" s="81"/>
      <c r="F110" s="81"/>
      <c r="G110" s="81"/>
      <c r="H110" s="81"/>
      <c r="I110" s="81"/>
      <c r="J110" s="81" t="s">
        <v>62</v>
      </c>
      <c r="K110" s="32"/>
      <c r="L110" s="20"/>
    </row>
    <row r="111" spans="1:12" x14ac:dyDescent="0.2">
      <c r="A111" s="81" t="s">
        <v>63</v>
      </c>
      <c r="B111" s="81"/>
      <c r="C111" s="81"/>
      <c r="D111" s="81"/>
      <c r="E111" s="81"/>
      <c r="F111" s="81"/>
      <c r="G111" s="81"/>
      <c r="H111" s="81"/>
      <c r="I111" s="81"/>
      <c r="J111" s="81"/>
      <c r="K111" s="34">
        <f>K109*K110*6/12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  <c r="J112" s="17" t="s">
        <v>64</v>
      </c>
      <c r="K112" s="35">
        <f>K111*7.48</f>
        <v>0</v>
      </c>
      <c r="L112" s="20"/>
    </row>
    <row r="114" spans="1:14" ht="15.75" x14ac:dyDescent="0.25">
      <c r="A114" s="31" t="s">
        <v>68</v>
      </c>
      <c r="C114" s="2"/>
      <c r="N114" s="14" t="s">
        <v>40</v>
      </c>
    </row>
    <row r="115" spans="1:14" x14ac:dyDescent="0.2">
      <c r="A115" s="77" t="s">
        <v>41</v>
      </c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</row>
    <row r="116" spans="1:14" s="4" customFormat="1" ht="25.5" x14ac:dyDescent="0.2">
      <c r="A116" s="18" t="s">
        <v>42</v>
      </c>
      <c r="B116" s="82" t="s">
        <v>43</v>
      </c>
      <c r="C116" s="82"/>
      <c r="D116" s="9" t="s">
        <v>10</v>
      </c>
      <c r="E116" s="9" t="s">
        <v>44</v>
      </c>
      <c r="F116" s="9" t="s">
        <v>45</v>
      </c>
      <c r="G116" s="9" t="s">
        <v>46</v>
      </c>
      <c r="H116" s="9" t="s">
        <v>47</v>
      </c>
      <c r="I116" s="9" t="s">
        <v>48</v>
      </c>
      <c r="J116" s="9" t="s">
        <v>49</v>
      </c>
      <c r="K116" s="9" t="s">
        <v>50</v>
      </c>
      <c r="L116" s="9" t="s">
        <v>51</v>
      </c>
    </row>
    <row r="117" spans="1:14" ht="12.75" customHeight="1" x14ac:dyDescent="0.2">
      <c r="A117" s="3">
        <v>1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>H117*I117</f>
        <v>0</v>
      </c>
      <c r="K117" s="13">
        <f>D117*G117*J117*F117</f>
        <v>0</v>
      </c>
      <c r="L117" s="79"/>
    </row>
    <row r="118" spans="1:14" x14ac:dyDescent="0.2">
      <c r="A118" s="3">
        <v>2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ref="J118:J121" si="4">H118*I118</f>
        <v>0</v>
      </c>
      <c r="K118" s="13">
        <f>D118*G118*J118*F118</f>
        <v>0</v>
      </c>
      <c r="L118" s="79"/>
    </row>
    <row r="119" spans="1:14" x14ac:dyDescent="0.2">
      <c r="A119" s="3">
        <v>3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4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1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A121" s="3">
        <v>5</v>
      </c>
      <c r="B121" s="80"/>
      <c r="C121" s="80"/>
      <c r="D121" s="10"/>
      <c r="E121" s="15" t="s">
        <v>52</v>
      </c>
      <c r="F121" s="24" cm="1">
        <f t="array" ref="F121">_xlfn.IFS(E121="above invert",0.5,E121="below invert",1,E121="ponding",1,E121=" ",0)</f>
        <v>0</v>
      </c>
      <c r="G121" s="10"/>
      <c r="H121" s="10"/>
      <c r="I121" s="10"/>
      <c r="J121" s="12">
        <f t="shared" si="4"/>
        <v>0</v>
      </c>
      <c r="K121" s="13">
        <f>D121*G121*J121*F121</f>
        <v>0</v>
      </c>
      <c r="L121" s="79"/>
    </row>
    <row r="122" spans="1:14" x14ac:dyDescent="0.2">
      <c r="J122" s="62" t="s">
        <v>53</v>
      </c>
      <c r="K122" s="13">
        <f>SUM(K117:K121)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J123" s="17" t="s">
        <v>54</v>
      </c>
      <c r="K123" s="16">
        <f>K122*7.48</f>
        <v>0</v>
      </c>
      <c r="L123" s="79"/>
    </row>
    <row r="124" spans="1:14" x14ac:dyDescent="0.2">
      <c r="C124" s="14"/>
      <c r="D124" s="14"/>
      <c r="E124" s="14"/>
      <c r="F124" s="14"/>
      <c r="G124" s="14"/>
      <c r="H124" s="14"/>
      <c r="I124" s="14"/>
      <c r="K124" s="17"/>
      <c r="L124" s="17"/>
    </row>
    <row r="125" spans="1:14" x14ac:dyDescent="0.2">
      <c r="A125" s="77" t="s">
        <v>55</v>
      </c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9" t="s">
        <v>51</v>
      </c>
    </row>
    <row r="126" spans="1:14" x14ac:dyDescent="0.2">
      <c r="A126" s="76" t="s">
        <v>56</v>
      </c>
      <c r="B126" s="76"/>
      <c r="C126" s="76"/>
      <c r="D126" s="76"/>
      <c r="E126" s="76"/>
      <c r="F126" s="76"/>
      <c r="G126" s="76"/>
      <c r="H126" s="76"/>
      <c r="I126" s="76"/>
      <c r="J126" s="76"/>
      <c r="K126" s="32"/>
      <c r="L126" s="20"/>
    </row>
    <row r="127" spans="1:14" x14ac:dyDescent="0.2">
      <c r="A127" s="81" t="s">
        <v>57</v>
      </c>
      <c r="B127" s="81"/>
      <c r="C127" s="81"/>
      <c r="D127" s="81"/>
      <c r="E127" s="81"/>
      <c r="F127" s="81"/>
      <c r="G127" s="81"/>
      <c r="H127" s="81"/>
      <c r="I127" s="81"/>
      <c r="J127" s="81"/>
      <c r="K127" s="32"/>
      <c r="L127" s="20"/>
    </row>
    <row r="128" spans="1:14" ht="25.5" customHeight="1" x14ac:dyDescent="0.2">
      <c r="A128" s="76" t="s">
        <v>58</v>
      </c>
      <c r="B128" s="76"/>
      <c r="C128" s="76"/>
      <c r="D128" s="76"/>
      <c r="E128" s="76"/>
      <c r="F128" s="76"/>
      <c r="G128" s="76"/>
      <c r="H128" s="76"/>
      <c r="I128" s="76"/>
      <c r="J128" s="76"/>
      <c r="K128" s="33">
        <f>K126-K127</f>
        <v>0</v>
      </c>
      <c r="L128" s="20"/>
    </row>
    <row r="129" spans="1:12" x14ac:dyDescent="0.2">
      <c r="C129" s="14"/>
      <c r="D129" s="14"/>
      <c r="E129" s="14"/>
      <c r="F129" s="14"/>
      <c r="G129" s="14"/>
      <c r="H129" s="14"/>
      <c r="I129" s="14"/>
      <c r="K129" s="17"/>
      <c r="L129" s="17"/>
    </row>
    <row r="130" spans="1:12" x14ac:dyDescent="0.2">
      <c r="A130" s="77" t="s">
        <v>59</v>
      </c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9" t="s">
        <v>51</v>
      </c>
    </row>
    <row r="131" spans="1:12" ht="25.5" customHeight="1" x14ac:dyDescent="0.2">
      <c r="A131" s="76" t="s">
        <v>60</v>
      </c>
      <c r="B131" s="76"/>
      <c r="C131" s="76"/>
      <c r="D131" s="76"/>
      <c r="E131" s="76"/>
      <c r="F131" s="76"/>
      <c r="G131" s="76"/>
      <c r="H131" s="76"/>
      <c r="I131" s="76"/>
      <c r="J131" s="76"/>
      <c r="K131" s="32"/>
      <c r="L131" s="20"/>
    </row>
    <row r="132" spans="1:12" x14ac:dyDescent="0.2">
      <c r="A132" s="63"/>
      <c r="B132" s="63"/>
      <c r="C132" s="63"/>
      <c r="D132" s="63"/>
      <c r="E132" s="63"/>
      <c r="F132" s="63"/>
      <c r="G132" s="63"/>
      <c r="H132" s="63"/>
      <c r="I132" s="63"/>
      <c r="J132" s="62" t="s">
        <v>61</v>
      </c>
      <c r="K132" s="34">
        <f>IF(K131&gt;3.6,3.6,K131)</f>
        <v>0</v>
      </c>
      <c r="L132" s="20"/>
    </row>
    <row r="133" spans="1:12" x14ac:dyDescent="0.2">
      <c r="A133" s="81" t="s">
        <v>62</v>
      </c>
      <c r="B133" s="81"/>
      <c r="C133" s="81"/>
      <c r="D133" s="81"/>
      <c r="E133" s="81"/>
      <c r="F133" s="81"/>
      <c r="G133" s="81"/>
      <c r="H133" s="81"/>
      <c r="I133" s="81"/>
      <c r="J133" s="81" t="s">
        <v>62</v>
      </c>
      <c r="K133" s="32"/>
      <c r="L133" s="20"/>
    </row>
    <row r="134" spans="1:12" x14ac:dyDescent="0.2">
      <c r="A134" s="81" t="s">
        <v>63</v>
      </c>
      <c r="B134" s="81"/>
      <c r="C134" s="81"/>
      <c r="D134" s="81"/>
      <c r="E134" s="81"/>
      <c r="F134" s="81"/>
      <c r="G134" s="81"/>
      <c r="H134" s="81"/>
      <c r="I134" s="81"/>
      <c r="J134" s="81"/>
      <c r="K134" s="34">
        <f>K132*K133*6/12</f>
        <v>0</v>
      </c>
      <c r="L134" s="20"/>
    </row>
    <row r="135" spans="1:12" ht="13.5" customHeight="1" x14ac:dyDescent="0.2">
      <c r="A135" s="63"/>
      <c r="B135" s="62"/>
      <c r="C135" s="62"/>
      <c r="D135" s="62"/>
      <c r="E135" s="62"/>
      <c r="F135" s="62"/>
      <c r="G135" s="62"/>
      <c r="H135" s="62"/>
      <c r="I135" s="62"/>
      <c r="J135" s="17" t="s">
        <v>64</v>
      </c>
      <c r="K135" s="35">
        <f>K134*7.48</f>
        <v>0</v>
      </c>
      <c r="L135" s="20"/>
    </row>
  </sheetData>
  <mergeCells count="107">
    <mergeCell ref="A33:K33"/>
    <mergeCell ref="A34:J34"/>
    <mergeCell ref="K2:L14"/>
    <mergeCell ref="A5:B5"/>
    <mergeCell ref="A7:B7"/>
    <mergeCell ref="A8:B8"/>
    <mergeCell ref="A9:B9"/>
    <mergeCell ref="E9:I10"/>
    <mergeCell ref="A10:B10"/>
    <mergeCell ref="A11:B11"/>
    <mergeCell ref="A12:B12"/>
    <mergeCell ref="C5:I5"/>
    <mergeCell ref="A13:B14"/>
    <mergeCell ref="E13:F13"/>
    <mergeCell ref="C21:D21"/>
    <mergeCell ref="A23:L23"/>
    <mergeCell ref="B24:C24"/>
    <mergeCell ref="B25:C25"/>
    <mergeCell ref="L25:L31"/>
    <mergeCell ref="B26:C26"/>
    <mergeCell ref="B27:C27"/>
    <mergeCell ref="B28:C28"/>
    <mergeCell ref="B29:C29"/>
    <mergeCell ref="C13:D13"/>
    <mergeCell ref="A35:J35"/>
    <mergeCell ref="A36:J36"/>
    <mergeCell ref="A61:K61"/>
    <mergeCell ref="A39:J39"/>
    <mergeCell ref="A41:J41"/>
    <mergeCell ref="A42:J42"/>
    <mergeCell ref="A46:L46"/>
    <mergeCell ref="B47:C47"/>
    <mergeCell ref="B48:C48"/>
    <mergeCell ref="L48:L54"/>
    <mergeCell ref="B49:C49"/>
    <mergeCell ref="B50:C50"/>
    <mergeCell ref="B51:C51"/>
    <mergeCell ref="B52:C52"/>
    <mergeCell ref="A56:K56"/>
    <mergeCell ref="A57:J57"/>
    <mergeCell ref="A38:K38"/>
    <mergeCell ref="B97:C97"/>
    <mergeCell ref="B98:C98"/>
    <mergeCell ref="A102:K102"/>
    <mergeCell ref="A103:J103"/>
    <mergeCell ref="A58:J58"/>
    <mergeCell ref="A59:J59"/>
    <mergeCell ref="A84:K84"/>
    <mergeCell ref="A62:J62"/>
    <mergeCell ref="A64:J64"/>
    <mergeCell ref="A65:J65"/>
    <mergeCell ref="A69:L69"/>
    <mergeCell ref="B70:C70"/>
    <mergeCell ref="B71:C71"/>
    <mergeCell ref="L71:L77"/>
    <mergeCell ref="B72:C72"/>
    <mergeCell ref="B73:C73"/>
    <mergeCell ref="B74:C74"/>
    <mergeCell ref="B75:C75"/>
    <mergeCell ref="A79:K79"/>
    <mergeCell ref="A80:J80"/>
    <mergeCell ref="A104:J104"/>
    <mergeCell ref="A105:J105"/>
    <mergeCell ref="B117:C117"/>
    <mergeCell ref="A81:J81"/>
    <mergeCell ref="A82:J82"/>
    <mergeCell ref="A107:K107"/>
    <mergeCell ref="A85:J85"/>
    <mergeCell ref="A87:J87"/>
    <mergeCell ref="A88:J88"/>
    <mergeCell ref="A92:L92"/>
    <mergeCell ref="B93:C93"/>
    <mergeCell ref="B94:C94"/>
    <mergeCell ref="L117:L123"/>
    <mergeCell ref="B118:C118"/>
    <mergeCell ref="B119:C119"/>
    <mergeCell ref="B120:C120"/>
    <mergeCell ref="A108:J108"/>
    <mergeCell ref="A110:J110"/>
    <mergeCell ref="A111:J111"/>
    <mergeCell ref="A115:L115"/>
    <mergeCell ref="B116:C116"/>
    <mergeCell ref="L94:L100"/>
    <mergeCell ref="B95:C95"/>
    <mergeCell ref="B96:C96"/>
    <mergeCell ref="A131:J131"/>
    <mergeCell ref="A133:J133"/>
    <mergeCell ref="A134:J134"/>
    <mergeCell ref="B121:C121"/>
    <mergeCell ref="A125:K125"/>
    <mergeCell ref="A126:J126"/>
    <mergeCell ref="A127:J127"/>
    <mergeCell ref="A128:J128"/>
    <mergeCell ref="A130:K130"/>
    <mergeCell ref="G17:H17"/>
    <mergeCell ref="C18:D18"/>
    <mergeCell ref="C19:E19"/>
    <mergeCell ref="F19:G19"/>
    <mergeCell ref="H19:I19"/>
    <mergeCell ref="A15:B15"/>
    <mergeCell ref="A17:B17"/>
    <mergeCell ref="A18:B18"/>
    <mergeCell ref="A19:B19"/>
    <mergeCell ref="A16:B16"/>
    <mergeCell ref="C15:D15"/>
    <mergeCell ref="C16:D16"/>
    <mergeCell ref="E17:F17"/>
  </mergeCells>
  <dataValidations count="2">
    <dataValidation allowBlank="1" showInputMessage="1" showErrorMessage="1" sqref="F25:F29 J1 F117:F121 F48:F52 F71:F75 F94:F98 F8 E9" xr:uid="{6FD7022F-F016-479E-9A69-6FB51CDB30DA}"/>
    <dataValidation type="list" allowBlank="1" showInputMessage="1" showErrorMessage="1" sqref="E94:E98 E117:E121 E48:E52 E71:E75 E25:E29" xr:uid="{DFA46621-B9B1-46D4-AB0A-BFEDAD382BE8}">
      <formula1>"' ,above invert,below invert,ponding"</formula1>
    </dataValidation>
  </dataValidations>
  <pageMargins left="0.25" right="0.25" top="0.5" bottom="0.5" header="0.3" footer="0.3"/>
  <pageSetup scale="75" fitToHeight="0" orientation="landscape" verticalDpi="1200" r:id="rId1"/>
  <headerFooter>
    <oddFooter>&amp;LDate Printed: &amp;D&amp;CFinal Constructed DRC Page &amp;P of &amp;N</oddFooter>
  </headerFooter>
  <rowBreaks count="2" manualBreakCount="2">
    <brk id="44" max="11" man="1"/>
    <brk id="90" max="11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71D73-8B82-40D8-8A21-1ACA0FA237D9}">
  <sheetPr>
    <tabColor rgb="FF00B0F0"/>
    <pageSetUpPr fitToPage="1"/>
  </sheetPr>
  <dimension ref="A1:BN50"/>
  <sheetViews>
    <sheetView showGridLines="0" zoomScaleNormal="100" zoomScaleSheetLayoutView="110" zoomScalePageLayoutView="90" workbookViewId="0">
      <selection activeCell="AF42" sqref="AF42"/>
    </sheetView>
  </sheetViews>
  <sheetFormatPr defaultColWidth="3.140625" defaultRowHeight="18" customHeight="1" x14ac:dyDescent="0.2"/>
  <cols>
    <col min="1" max="16" width="3.140625" style="41"/>
    <col min="17" max="17" width="3.140625" style="41" customWidth="1"/>
    <col min="18" max="28" width="3.140625" style="41"/>
    <col min="29" max="31" width="3.5703125" style="41" customWidth="1"/>
    <col min="32" max="16384" width="3.140625" style="41"/>
  </cols>
  <sheetData>
    <row r="1" spans="1:66" ht="7.35" customHeight="1" x14ac:dyDescent="0.2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40"/>
    </row>
    <row r="2" spans="1:66" ht="24" customHeight="1" x14ac:dyDescent="0.2">
      <c r="A2" s="151" t="s">
        <v>76</v>
      </c>
      <c r="B2" s="151"/>
      <c r="C2" s="151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36" t="s">
        <v>77</v>
      </c>
      <c r="R2" s="136"/>
      <c r="S2" s="136"/>
      <c r="T2" s="136"/>
      <c r="U2" s="136"/>
      <c r="V2" s="130" t="s">
        <v>16</v>
      </c>
      <c r="W2" s="130"/>
      <c r="X2" s="130"/>
      <c r="Y2" s="130"/>
      <c r="Z2" s="130"/>
      <c r="AC2" s="135" t="s">
        <v>78</v>
      </c>
      <c r="AD2" s="135"/>
      <c r="AE2" s="135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36" t="s">
        <v>79</v>
      </c>
      <c r="AT2" s="136"/>
      <c r="AU2" s="136"/>
      <c r="AV2" s="136"/>
      <c r="AW2" s="136"/>
      <c r="AX2" s="130" t="s">
        <v>16</v>
      </c>
      <c r="AY2" s="130"/>
      <c r="AZ2" s="130"/>
      <c r="BA2" s="130"/>
      <c r="BB2" s="130"/>
      <c r="BC2" s="40"/>
      <c r="BD2" s="42"/>
      <c r="BE2" s="71"/>
      <c r="BF2" s="71"/>
    </row>
    <row r="3" spans="1:66" ht="9.75" customHeight="1" x14ac:dyDescent="0.2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40"/>
    </row>
    <row r="4" spans="1:66" ht="18" customHeight="1" thickBot="1" x14ac:dyDescent="0.25">
      <c r="A4" s="127" t="s">
        <v>80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C4" s="127" t="s">
        <v>81</v>
      </c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40"/>
    </row>
    <row r="5" spans="1:66" ht="7.35" customHeight="1" x14ac:dyDescent="0.2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40"/>
    </row>
    <row r="6" spans="1:66" ht="33" customHeight="1" x14ac:dyDescent="0.2">
      <c r="A6" s="140" t="s">
        <v>82</v>
      </c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C6" s="132" t="s">
        <v>83</v>
      </c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40"/>
    </row>
    <row r="7" spans="1:66" ht="7.35" customHeight="1" x14ac:dyDescent="0.2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40"/>
    </row>
    <row r="8" spans="1:66" ht="33" customHeight="1" x14ac:dyDescent="0.25">
      <c r="A8" s="141"/>
      <c r="B8" s="142" t="s">
        <v>84</v>
      </c>
      <c r="C8" s="143"/>
      <c r="D8" s="143"/>
      <c r="E8" s="143"/>
      <c r="F8" s="143"/>
      <c r="G8" s="143"/>
      <c r="H8" s="144"/>
      <c r="I8" s="145" t="s">
        <v>85</v>
      </c>
      <c r="J8" s="146"/>
      <c r="K8" s="146"/>
      <c r="L8" s="146"/>
      <c r="M8" s="146"/>
      <c r="N8" s="147"/>
      <c r="O8" s="145" t="s">
        <v>86</v>
      </c>
      <c r="P8" s="146"/>
      <c r="Q8" s="147"/>
      <c r="R8" s="148" t="s">
        <v>87</v>
      </c>
      <c r="S8" s="149"/>
      <c r="T8" s="149"/>
      <c r="U8" s="149"/>
      <c r="V8" s="148" t="s">
        <v>88</v>
      </c>
      <c r="W8" s="148"/>
      <c r="X8" s="148"/>
      <c r="Y8" s="148"/>
      <c r="Z8" s="118"/>
      <c r="AC8" s="118"/>
      <c r="AD8" s="72" t="s">
        <v>89</v>
      </c>
      <c r="AE8" s="117" t="s">
        <v>90</v>
      </c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21"/>
      <c r="AT8" s="122"/>
      <c r="AU8" s="133" t="str">
        <f>R17</f>
        <v/>
      </c>
      <c r="AV8" s="134"/>
      <c r="AW8" s="134"/>
      <c r="AX8" s="134"/>
      <c r="AY8" s="134"/>
      <c r="AZ8" s="134"/>
      <c r="BA8" s="116" t="s">
        <v>91</v>
      </c>
      <c r="BB8" s="117"/>
      <c r="BC8" s="40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</row>
    <row r="9" spans="1:66" ht="33" customHeight="1" x14ac:dyDescent="0.2">
      <c r="A9" s="141"/>
      <c r="B9" s="165"/>
      <c r="C9" s="165"/>
      <c r="D9" s="165"/>
      <c r="E9" s="165"/>
      <c r="F9" s="165"/>
      <c r="G9" s="165"/>
      <c r="H9" s="165"/>
      <c r="I9" s="155"/>
      <c r="J9" s="156"/>
      <c r="K9" s="156"/>
      <c r="L9" s="156"/>
      <c r="M9" s="156"/>
      <c r="N9" s="157"/>
      <c r="O9" s="158"/>
      <c r="P9" s="159"/>
      <c r="Q9" s="160"/>
      <c r="R9" s="161"/>
      <c r="S9" s="161"/>
      <c r="T9" s="161"/>
      <c r="U9" s="161"/>
      <c r="V9" s="119" t="str">
        <f t="shared" ref="V9:V14" si="0">IF(ISNUMBER(R9),O9*R9,"")</f>
        <v/>
      </c>
      <c r="W9" s="119"/>
      <c r="X9" s="119"/>
      <c r="Y9" s="119"/>
      <c r="Z9" s="118"/>
      <c r="AC9" s="118"/>
      <c r="AD9" s="72" t="s">
        <v>92</v>
      </c>
      <c r="AE9" s="120" t="s">
        <v>93</v>
      </c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1"/>
      <c r="AT9" s="122"/>
      <c r="AU9" s="133" t="str">
        <f>V21</f>
        <v/>
      </c>
      <c r="AV9" s="133"/>
      <c r="AW9" s="133"/>
      <c r="AX9" s="133"/>
      <c r="AY9" s="133"/>
      <c r="AZ9" s="133"/>
      <c r="BA9" s="116"/>
      <c r="BB9" s="117"/>
      <c r="BC9" s="40"/>
    </row>
    <row r="10" spans="1:66" ht="33" customHeight="1" x14ac:dyDescent="0.2">
      <c r="A10" s="141"/>
      <c r="B10" s="152"/>
      <c r="C10" s="153"/>
      <c r="D10" s="153"/>
      <c r="E10" s="153"/>
      <c r="F10" s="153"/>
      <c r="G10" s="153"/>
      <c r="H10" s="154"/>
      <c r="I10" s="155"/>
      <c r="J10" s="156"/>
      <c r="K10" s="156"/>
      <c r="L10" s="156"/>
      <c r="M10" s="156"/>
      <c r="N10" s="157"/>
      <c r="O10" s="158"/>
      <c r="P10" s="159"/>
      <c r="Q10" s="160"/>
      <c r="R10" s="161"/>
      <c r="S10" s="161"/>
      <c r="T10" s="161"/>
      <c r="U10" s="161"/>
      <c r="V10" s="162" t="str">
        <f t="shared" si="0"/>
        <v/>
      </c>
      <c r="W10" s="163"/>
      <c r="X10" s="163"/>
      <c r="Y10" s="164"/>
      <c r="Z10" s="118"/>
      <c r="AC10" s="118"/>
      <c r="AD10" s="72" t="s">
        <v>94</v>
      </c>
      <c r="AE10" s="120" t="s">
        <v>95</v>
      </c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1"/>
      <c r="AT10" s="122"/>
      <c r="AU10" s="123">
        <v>5.15</v>
      </c>
      <c r="AV10" s="123"/>
      <c r="AW10" s="123"/>
      <c r="AX10" s="123"/>
      <c r="AY10" s="123"/>
      <c r="AZ10" s="123"/>
      <c r="BA10" s="116" t="s">
        <v>96</v>
      </c>
      <c r="BB10" s="117"/>
      <c r="BC10" s="40"/>
    </row>
    <row r="11" spans="1:66" ht="33" customHeight="1" x14ac:dyDescent="0.2">
      <c r="A11" s="141"/>
      <c r="B11" s="152"/>
      <c r="C11" s="153"/>
      <c r="D11" s="153"/>
      <c r="E11" s="153"/>
      <c r="F11" s="153"/>
      <c r="G11" s="153"/>
      <c r="H11" s="154"/>
      <c r="I11" s="155"/>
      <c r="J11" s="156"/>
      <c r="K11" s="156"/>
      <c r="L11" s="156"/>
      <c r="M11" s="156"/>
      <c r="N11" s="157"/>
      <c r="O11" s="158"/>
      <c r="P11" s="159"/>
      <c r="Q11" s="160"/>
      <c r="R11" s="161"/>
      <c r="S11" s="161"/>
      <c r="T11" s="161"/>
      <c r="U11" s="161"/>
      <c r="V11" s="162" t="str">
        <f t="shared" si="0"/>
        <v/>
      </c>
      <c r="W11" s="163"/>
      <c r="X11" s="163"/>
      <c r="Y11" s="164"/>
      <c r="Z11" s="118"/>
      <c r="AC11" s="71"/>
      <c r="AD11" s="72" t="s">
        <v>97</v>
      </c>
      <c r="AE11" s="120" t="s">
        <v>98</v>
      </c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1"/>
      <c r="AT11" s="122"/>
      <c r="AU11" s="123">
        <v>8.57</v>
      </c>
      <c r="AV11" s="123"/>
      <c r="AW11" s="123"/>
      <c r="AX11" s="123"/>
      <c r="AY11" s="123"/>
      <c r="AZ11" s="123"/>
      <c r="BA11" s="116" t="s">
        <v>96</v>
      </c>
      <c r="BB11" s="117"/>
      <c r="BC11" s="40"/>
    </row>
    <row r="12" spans="1:66" ht="33" customHeight="1" x14ac:dyDescent="0.2">
      <c r="A12" s="141"/>
      <c r="B12" s="152"/>
      <c r="C12" s="153"/>
      <c r="D12" s="153"/>
      <c r="E12" s="153"/>
      <c r="F12" s="153"/>
      <c r="G12" s="153"/>
      <c r="H12" s="154"/>
      <c r="I12" s="155"/>
      <c r="J12" s="156"/>
      <c r="K12" s="156"/>
      <c r="L12" s="156"/>
      <c r="M12" s="156"/>
      <c r="N12" s="157"/>
      <c r="O12" s="166"/>
      <c r="P12" s="167"/>
      <c r="Q12" s="168"/>
      <c r="R12" s="169"/>
      <c r="S12" s="170"/>
      <c r="T12" s="170"/>
      <c r="U12" s="171"/>
      <c r="V12" s="162" t="str">
        <f t="shared" si="0"/>
        <v/>
      </c>
      <c r="W12" s="163"/>
      <c r="X12" s="163"/>
      <c r="Y12" s="164"/>
      <c r="Z12" s="118"/>
      <c r="AC12" s="132" t="s">
        <v>99</v>
      </c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40"/>
    </row>
    <row r="13" spans="1:66" ht="33" customHeight="1" x14ac:dyDescent="0.2">
      <c r="A13" s="141"/>
      <c r="B13" s="152"/>
      <c r="C13" s="153"/>
      <c r="D13" s="153"/>
      <c r="E13" s="153"/>
      <c r="F13" s="153"/>
      <c r="G13" s="153"/>
      <c r="H13" s="154"/>
      <c r="I13" s="155"/>
      <c r="J13" s="156"/>
      <c r="K13" s="156"/>
      <c r="L13" s="156"/>
      <c r="M13" s="156"/>
      <c r="N13" s="157"/>
      <c r="O13" s="158"/>
      <c r="P13" s="159"/>
      <c r="Q13" s="160"/>
      <c r="R13" s="161"/>
      <c r="S13" s="161"/>
      <c r="T13" s="161"/>
      <c r="U13" s="161"/>
      <c r="V13" s="162" t="str">
        <f t="shared" si="0"/>
        <v/>
      </c>
      <c r="W13" s="163"/>
      <c r="X13" s="163"/>
      <c r="Y13" s="164"/>
      <c r="Z13" s="118"/>
      <c r="AC13" s="118"/>
      <c r="AD13" s="72" t="s">
        <v>100</v>
      </c>
      <c r="AE13" s="120" t="s">
        <v>101</v>
      </c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1"/>
      <c r="AT13" s="122"/>
      <c r="AU13" s="119" t="str">
        <f>IF(ISNUMBER(AU9),(1000/AU9)-10,"")</f>
        <v/>
      </c>
      <c r="AV13" s="119"/>
      <c r="AW13" s="119"/>
      <c r="AX13" s="119"/>
      <c r="AY13" s="119"/>
      <c r="AZ13" s="119"/>
      <c r="BA13" s="116" t="s">
        <v>96</v>
      </c>
      <c r="BB13" s="117"/>
      <c r="BC13" s="40"/>
    </row>
    <row r="14" spans="1:66" ht="33" customHeight="1" x14ac:dyDescent="0.2">
      <c r="A14" s="141"/>
      <c r="B14" s="179"/>
      <c r="C14" s="180"/>
      <c r="D14" s="180"/>
      <c r="E14" s="180"/>
      <c r="F14" s="180"/>
      <c r="G14" s="180"/>
      <c r="H14" s="181"/>
      <c r="I14" s="182"/>
      <c r="J14" s="183"/>
      <c r="K14" s="183"/>
      <c r="L14" s="183"/>
      <c r="M14" s="183"/>
      <c r="N14" s="184"/>
      <c r="O14" s="166"/>
      <c r="P14" s="167"/>
      <c r="Q14" s="168"/>
      <c r="R14" s="161"/>
      <c r="S14" s="161"/>
      <c r="T14" s="161"/>
      <c r="U14" s="161"/>
      <c r="V14" s="162" t="str">
        <f t="shared" si="0"/>
        <v/>
      </c>
      <c r="W14" s="163"/>
      <c r="X14" s="163"/>
      <c r="Y14" s="164"/>
      <c r="Z14" s="118"/>
      <c r="AC14" s="118"/>
      <c r="AD14" s="72" t="s">
        <v>102</v>
      </c>
      <c r="AE14" s="120" t="s">
        <v>103</v>
      </c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1"/>
      <c r="AT14" s="122"/>
      <c r="AU14" s="119" t="str">
        <f>IF(AND(ISNUMBER(AU10),ISNUMBER(AU13)),((AU10-0.2*AU13)^2)/(AU10+0.8*AU13),"")</f>
        <v/>
      </c>
      <c r="AV14" s="119"/>
      <c r="AW14" s="119"/>
      <c r="AX14" s="119"/>
      <c r="AY14" s="119"/>
      <c r="AZ14" s="119"/>
      <c r="BA14" s="116" t="s">
        <v>96</v>
      </c>
      <c r="BB14" s="117"/>
      <c r="BC14" s="40"/>
    </row>
    <row r="15" spans="1:66" ht="33" customHeight="1" x14ac:dyDescent="0.2">
      <c r="A15" s="40"/>
      <c r="B15" s="179"/>
      <c r="C15" s="180"/>
      <c r="D15" s="180"/>
      <c r="E15" s="180"/>
      <c r="F15" s="180"/>
      <c r="G15" s="180"/>
      <c r="H15" s="181"/>
      <c r="I15" s="182"/>
      <c r="J15" s="183"/>
      <c r="K15" s="183"/>
      <c r="L15" s="183"/>
      <c r="M15" s="183"/>
      <c r="N15" s="184"/>
      <c r="O15" s="166"/>
      <c r="P15" s="167"/>
      <c r="Q15" s="168"/>
      <c r="R15" s="161"/>
      <c r="S15" s="161"/>
      <c r="T15" s="161"/>
      <c r="U15" s="161"/>
      <c r="V15" s="162" t="str">
        <f t="shared" ref="V15" si="1">IF(ISNUMBER(R15),O15*R15,"")</f>
        <v/>
      </c>
      <c r="W15" s="163"/>
      <c r="X15" s="163"/>
      <c r="Y15" s="164"/>
      <c r="Z15" s="118"/>
      <c r="AC15" s="71"/>
      <c r="AD15" s="72" t="s">
        <v>102</v>
      </c>
      <c r="AE15" s="120" t="s">
        <v>104</v>
      </c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1"/>
      <c r="AT15" s="122"/>
      <c r="AU15" s="119" t="str">
        <f>IF(AND(ISNUMBER(AU11),ISNUMBER(AU13)),((AU11-0.2*AU13)^2)/(AU11+0.8*AU13),"")</f>
        <v/>
      </c>
      <c r="AV15" s="119"/>
      <c r="AW15" s="119"/>
      <c r="AX15" s="119"/>
      <c r="AY15" s="119"/>
      <c r="AZ15" s="119"/>
      <c r="BA15" s="116" t="s">
        <v>96</v>
      </c>
      <c r="BB15" s="117"/>
      <c r="BC15" s="40"/>
    </row>
    <row r="16" spans="1:66" ht="7.35" customHeight="1" x14ac:dyDescent="0.2">
      <c r="A16" s="71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3"/>
      <c r="S16" s="73"/>
      <c r="T16" s="73"/>
      <c r="U16" s="73"/>
      <c r="V16" s="73"/>
      <c r="W16" s="73"/>
      <c r="X16" s="73"/>
      <c r="Y16" s="73"/>
      <c r="Z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40"/>
    </row>
    <row r="17" spans="1:55" ht="7.35" customHeight="1" x14ac:dyDescent="0.2">
      <c r="A17" s="172" t="s">
        <v>105</v>
      </c>
      <c r="B17" s="172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3"/>
      <c r="R17" s="119" t="str">
        <f>IF(SUM(R9:R15)&gt;0,SUM(R9:R15),"")</f>
        <v/>
      </c>
      <c r="S17" s="174"/>
      <c r="T17" s="174"/>
      <c r="U17" s="175"/>
      <c r="V17" s="119" t="str">
        <f>IF(SUM(V9:V15)&gt;0,SUM(V9:V15),"")</f>
        <v/>
      </c>
      <c r="W17" s="119"/>
      <c r="X17" s="119"/>
      <c r="Y17" s="119"/>
      <c r="Z17" s="118"/>
      <c r="AC17" s="132" t="s">
        <v>81</v>
      </c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40"/>
    </row>
    <row r="18" spans="1:55" ht="18" customHeight="1" x14ac:dyDescent="0.2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3"/>
      <c r="R18" s="176"/>
      <c r="S18" s="177"/>
      <c r="T18" s="177"/>
      <c r="U18" s="178"/>
      <c r="V18" s="119"/>
      <c r="W18" s="119"/>
      <c r="X18" s="119"/>
      <c r="Y18" s="119"/>
      <c r="Z18" s="118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40"/>
    </row>
    <row r="19" spans="1:55" ht="7.35" customHeight="1" thickBot="1" x14ac:dyDescent="0.25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40"/>
    </row>
    <row r="20" spans="1:55" ht="28.5" customHeight="1" thickBot="1" x14ac:dyDescent="0.25">
      <c r="A20" s="132" t="s">
        <v>106</v>
      </c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C20" s="40"/>
      <c r="AD20" s="72" t="s">
        <v>107</v>
      </c>
      <c r="AE20" s="117" t="s">
        <v>108</v>
      </c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21"/>
      <c r="AT20" s="121"/>
      <c r="AU20" s="124" t="str">
        <f>IF(AND(ISNUMBER(AU8),ISNUMBER(AU14)),(AU14/12)*AU8,"")</f>
        <v/>
      </c>
      <c r="AV20" s="125"/>
      <c r="AW20" s="125"/>
      <c r="AX20" s="125"/>
      <c r="AY20" s="125"/>
      <c r="AZ20" s="126"/>
      <c r="BA20" s="117" t="s">
        <v>109</v>
      </c>
      <c r="BB20" s="117"/>
      <c r="BC20" s="40"/>
    </row>
    <row r="21" spans="1:55" ht="28.5" customHeight="1" thickBot="1" x14ac:dyDescent="0.25">
      <c r="A21" s="118"/>
      <c r="B21" s="172" t="s">
        <v>110</v>
      </c>
      <c r="C21" s="172"/>
      <c r="D21" s="172"/>
      <c r="E21" s="172"/>
      <c r="F21" s="118" t="s">
        <v>111</v>
      </c>
      <c r="G21" s="185" t="s">
        <v>112</v>
      </c>
      <c r="H21" s="185"/>
      <c r="I21" s="185"/>
      <c r="J21" s="185"/>
      <c r="K21" s="141" t="s">
        <v>111</v>
      </c>
      <c r="L21" s="162" t="str">
        <f>IF(ISNUMBER(V17),V17,"")</f>
        <v/>
      </c>
      <c r="M21" s="163"/>
      <c r="N21" s="163"/>
      <c r="O21" s="164"/>
      <c r="P21" s="186" t="s">
        <v>113</v>
      </c>
      <c r="Q21" s="187" t="s">
        <v>110</v>
      </c>
      <c r="R21" s="187"/>
      <c r="S21" s="187"/>
      <c r="T21" s="187"/>
      <c r="U21" s="188" t="s">
        <v>111</v>
      </c>
      <c r="V21" s="189" t="str">
        <f>IF(ISNUMBER(L22),L21/L22,"")</f>
        <v/>
      </c>
      <c r="W21" s="190"/>
      <c r="X21" s="190"/>
      <c r="Y21" s="191"/>
      <c r="Z21" s="195"/>
      <c r="AC21" s="40"/>
      <c r="AD21" s="72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1"/>
      <c r="AT21" s="122"/>
      <c r="AU21" s="137" t="str">
        <f>IF(ISNUMBER(AU20),AU20*43560,"")</f>
        <v/>
      </c>
      <c r="AV21" s="138"/>
      <c r="AW21" s="138"/>
      <c r="AX21" s="138"/>
      <c r="AY21" s="138"/>
      <c r="AZ21" s="139"/>
      <c r="BA21" s="116" t="s">
        <v>114</v>
      </c>
      <c r="BB21" s="117"/>
      <c r="BC21" s="40"/>
    </row>
    <row r="22" spans="1:55" ht="28.5" customHeight="1" thickBot="1" x14ac:dyDescent="0.25">
      <c r="A22" s="118"/>
      <c r="B22" s="172"/>
      <c r="C22" s="172"/>
      <c r="D22" s="172"/>
      <c r="E22" s="172"/>
      <c r="F22" s="118"/>
      <c r="G22" s="196" t="s">
        <v>115</v>
      </c>
      <c r="H22" s="196"/>
      <c r="I22" s="196"/>
      <c r="J22" s="196"/>
      <c r="K22" s="141"/>
      <c r="L22" s="162" t="str">
        <f>IF(ISNUMBER(R17),R17,"")</f>
        <v/>
      </c>
      <c r="M22" s="163"/>
      <c r="N22" s="163"/>
      <c r="O22" s="164"/>
      <c r="P22" s="186"/>
      <c r="Q22" s="187"/>
      <c r="R22" s="187"/>
      <c r="S22" s="187"/>
      <c r="T22" s="187"/>
      <c r="U22" s="188"/>
      <c r="V22" s="192"/>
      <c r="W22" s="193"/>
      <c r="X22" s="193"/>
      <c r="Y22" s="194"/>
      <c r="Z22" s="195"/>
      <c r="AC22" s="40"/>
      <c r="AD22" s="72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1"/>
      <c r="AT22" s="122"/>
      <c r="AU22" s="137" t="str">
        <f>IF(ISNUMBER(AU21),AU21*7.48,"")</f>
        <v/>
      </c>
      <c r="AV22" s="138"/>
      <c r="AW22" s="138"/>
      <c r="AX22" s="138"/>
      <c r="AY22" s="138"/>
      <c r="AZ22" s="139"/>
      <c r="BA22" s="116" t="s">
        <v>19</v>
      </c>
      <c r="BB22" s="117"/>
      <c r="BC22" s="40"/>
    </row>
    <row r="23" spans="1:55" ht="7.35" customHeight="1" thickBot="1" x14ac:dyDescent="0.25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40"/>
    </row>
    <row r="24" spans="1:55" ht="28.5" customHeight="1" thickBot="1" x14ac:dyDescent="0.25">
      <c r="AC24" s="40"/>
      <c r="AD24" s="72" t="s">
        <v>107</v>
      </c>
      <c r="AE24" s="117" t="s">
        <v>116</v>
      </c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21"/>
      <c r="AT24" s="121"/>
      <c r="AU24" s="124" t="str">
        <f>IF(AND(ISNUMBER(AU8),ISNUMBER(AU15)),(AU15/12)*AU8,"")</f>
        <v/>
      </c>
      <c r="AV24" s="125"/>
      <c r="AW24" s="125"/>
      <c r="AX24" s="125"/>
      <c r="AY24" s="125"/>
      <c r="AZ24" s="126"/>
      <c r="BA24" s="117" t="s">
        <v>109</v>
      </c>
      <c r="BB24" s="117"/>
      <c r="BC24" s="40"/>
    </row>
    <row r="25" spans="1:55" ht="28.5" customHeight="1" thickBot="1" x14ac:dyDescent="0.25">
      <c r="AC25" s="40"/>
      <c r="AD25" s="72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1"/>
      <c r="AT25" s="122"/>
      <c r="AU25" s="137" t="str">
        <f>IF(ISNUMBER(AU24),AU24*43560,"")</f>
        <v/>
      </c>
      <c r="AV25" s="138"/>
      <c r="AW25" s="138"/>
      <c r="AX25" s="138"/>
      <c r="AY25" s="138"/>
      <c r="AZ25" s="139"/>
      <c r="BA25" s="116" t="s">
        <v>114</v>
      </c>
      <c r="BB25" s="117"/>
      <c r="BC25" s="40"/>
    </row>
    <row r="26" spans="1:55" ht="28.5" customHeight="1" thickBot="1" x14ac:dyDescent="0.25">
      <c r="AC26" s="40"/>
      <c r="AD26" s="72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1"/>
      <c r="AT26" s="122"/>
      <c r="AU26" s="137" t="str">
        <f>IF(ISNUMBER(AU25),AU25*7.48,"")</f>
        <v/>
      </c>
      <c r="AV26" s="138"/>
      <c r="AW26" s="138"/>
      <c r="AX26" s="138"/>
      <c r="AY26" s="138"/>
      <c r="AZ26" s="139"/>
      <c r="BA26" s="116" t="s">
        <v>19</v>
      </c>
      <c r="BB26" s="117"/>
      <c r="BC26" s="40"/>
    </row>
    <row r="27" spans="1:55" ht="18" customHeight="1" x14ac:dyDescent="0.2"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</row>
    <row r="28" spans="1:55" ht="18" customHeight="1" x14ac:dyDescent="0.2"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</row>
    <row r="29" spans="1:55" ht="18" customHeight="1" x14ac:dyDescent="0.2"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</row>
    <row r="30" spans="1:55" ht="18" customHeight="1" x14ac:dyDescent="0.2"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</row>
    <row r="31" spans="1:55" ht="18" customHeight="1" x14ac:dyDescent="0.2"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</row>
    <row r="32" spans="1:55" ht="18" customHeight="1" x14ac:dyDescent="0.2"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</row>
    <row r="33" spans="29:55" ht="18" customHeight="1" x14ac:dyDescent="0.2"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</row>
    <row r="34" spans="29:55" ht="18" customHeight="1" x14ac:dyDescent="0.2"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</row>
    <row r="35" spans="29:55" ht="18" customHeight="1" x14ac:dyDescent="0.2"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</row>
    <row r="36" spans="29:55" ht="18" customHeight="1" x14ac:dyDescent="0.2"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</row>
    <row r="37" spans="29:55" ht="18" customHeight="1" x14ac:dyDescent="0.2"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</row>
    <row r="38" spans="29:55" ht="18" customHeight="1" x14ac:dyDescent="0.2"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</row>
    <row r="39" spans="29:55" ht="18" customHeight="1" x14ac:dyDescent="0.2"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</row>
    <row r="40" spans="29:55" ht="18" customHeight="1" x14ac:dyDescent="0.2"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</row>
    <row r="41" spans="29:55" ht="18" customHeight="1" x14ac:dyDescent="0.2"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</row>
    <row r="42" spans="29:55" ht="18" customHeight="1" x14ac:dyDescent="0.2"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</row>
    <row r="43" spans="29:55" ht="18" customHeight="1" x14ac:dyDescent="0.2"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</row>
    <row r="44" spans="29:55" ht="18" customHeight="1" x14ac:dyDescent="0.2"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</row>
    <row r="45" spans="29:55" ht="18" customHeight="1" x14ac:dyDescent="0.2"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</row>
    <row r="46" spans="29:55" ht="18" customHeight="1" x14ac:dyDescent="0.2"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</row>
    <row r="47" spans="29:55" ht="18" customHeight="1" x14ac:dyDescent="0.2"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</row>
    <row r="48" spans="29:55" ht="18" customHeight="1" x14ac:dyDescent="0.2"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</row>
    <row r="49" spans="29:54" ht="18" customHeight="1" x14ac:dyDescent="0.2"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</row>
    <row r="50" spans="29:54" ht="18" customHeight="1" x14ac:dyDescent="0.2"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</row>
  </sheetData>
  <sheetProtection selectLockedCells="1"/>
  <mergeCells count="140">
    <mergeCell ref="A1:Z1"/>
    <mergeCell ref="AC1:BB1"/>
    <mergeCell ref="A23:Z23"/>
    <mergeCell ref="AC23:BB23"/>
    <mergeCell ref="AC16:BB16"/>
    <mergeCell ref="B15:H15"/>
    <mergeCell ref="I15:N15"/>
    <mergeCell ref="O15:Q15"/>
    <mergeCell ref="R15:U15"/>
    <mergeCell ref="V15:Y15"/>
    <mergeCell ref="A19:Z19"/>
    <mergeCell ref="A20:Z20"/>
    <mergeCell ref="A21:A22"/>
    <mergeCell ref="B21:E22"/>
    <mergeCell ref="F21:F22"/>
    <mergeCell ref="G21:J21"/>
    <mergeCell ref="K21:K22"/>
    <mergeCell ref="L21:O21"/>
    <mergeCell ref="P21:P22"/>
    <mergeCell ref="Q21:T22"/>
    <mergeCell ref="U21:U22"/>
    <mergeCell ref="V21:Y22"/>
    <mergeCell ref="Z21:Z22"/>
    <mergeCell ref="G22:J22"/>
    <mergeCell ref="L22:O22"/>
    <mergeCell ref="A17:Q18"/>
    <mergeCell ref="R17:U18"/>
    <mergeCell ref="V17:Y18"/>
    <mergeCell ref="B14:H14"/>
    <mergeCell ref="I14:N14"/>
    <mergeCell ref="O14:Q14"/>
    <mergeCell ref="R14:U14"/>
    <mergeCell ref="V14:Y14"/>
    <mergeCell ref="R12:U12"/>
    <mergeCell ref="V12:Y12"/>
    <mergeCell ref="I10:N10"/>
    <mergeCell ref="O10:Q10"/>
    <mergeCell ref="R10:U10"/>
    <mergeCell ref="V10:Y10"/>
    <mergeCell ref="B11:H11"/>
    <mergeCell ref="I11:N11"/>
    <mergeCell ref="O11:Q11"/>
    <mergeCell ref="R11:U11"/>
    <mergeCell ref="V11:Y11"/>
    <mergeCell ref="A4:Z4"/>
    <mergeCell ref="A5:Z5"/>
    <mergeCell ref="A2:C2"/>
    <mergeCell ref="D2:P2"/>
    <mergeCell ref="Q2:U2"/>
    <mergeCell ref="V2:Z2"/>
    <mergeCell ref="AE26:AR26"/>
    <mergeCell ref="AS26:AT26"/>
    <mergeCell ref="AE13:AR13"/>
    <mergeCell ref="AS13:AT13"/>
    <mergeCell ref="B13:H13"/>
    <mergeCell ref="I13:N13"/>
    <mergeCell ref="O13:Q13"/>
    <mergeCell ref="R13:U13"/>
    <mergeCell ref="V13:Y13"/>
    <mergeCell ref="B9:H9"/>
    <mergeCell ref="I9:N9"/>
    <mergeCell ref="O9:Q9"/>
    <mergeCell ref="R9:U9"/>
    <mergeCell ref="V9:Y9"/>
    <mergeCell ref="B10:H10"/>
    <mergeCell ref="B12:H12"/>
    <mergeCell ref="I12:N12"/>
    <mergeCell ref="O12:Q12"/>
    <mergeCell ref="AU26:AZ26"/>
    <mergeCell ref="AE9:AR9"/>
    <mergeCell ref="AS9:AT9"/>
    <mergeCell ref="AU9:AZ9"/>
    <mergeCell ref="AS22:AT22"/>
    <mergeCell ref="AU22:AZ22"/>
    <mergeCell ref="A3:Z3"/>
    <mergeCell ref="A6:Z6"/>
    <mergeCell ref="A7:Z7"/>
    <mergeCell ref="A8:A14"/>
    <mergeCell ref="B8:H8"/>
    <mergeCell ref="I8:N8"/>
    <mergeCell ref="O8:Q8"/>
    <mergeCell ref="R8:U8"/>
    <mergeCell ref="V8:Y8"/>
    <mergeCell ref="Z8:Z18"/>
    <mergeCell ref="AE14:AR14"/>
    <mergeCell ref="AS14:AT14"/>
    <mergeCell ref="AU14:AZ14"/>
    <mergeCell ref="AE25:AR25"/>
    <mergeCell ref="AS25:AT25"/>
    <mergeCell ref="AU25:AZ25"/>
    <mergeCell ref="AC12:BB12"/>
    <mergeCell ref="AC13:AC14"/>
    <mergeCell ref="BA25:BB25"/>
    <mergeCell ref="AE21:AR21"/>
    <mergeCell ref="AS21:AT21"/>
    <mergeCell ref="AU21:AZ21"/>
    <mergeCell ref="BA21:BB21"/>
    <mergeCell ref="AE22:AR22"/>
    <mergeCell ref="AC17:BB18"/>
    <mergeCell ref="AS20:AT20"/>
    <mergeCell ref="AU20:AZ20"/>
    <mergeCell ref="BA20:BB20"/>
    <mergeCell ref="BA26:BB26"/>
    <mergeCell ref="AE15:AR15"/>
    <mergeCell ref="AS15:AT15"/>
    <mergeCell ref="AU15:AZ15"/>
    <mergeCell ref="BA15:BB15"/>
    <mergeCell ref="AU24:AZ24"/>
    <mergeCell ref="AC4:BB4"/>
    <mergeCell ref="AC5:BB5"/>
    <mergeCell ref="AF2:AR2"/>
    <mergeCell ref="AX2:BB2"/>
    <mergeCell ref="AC3:BB3"/>
    <mergeCell ref="AC6:BB6"/>
    <mergeCell ref="AC7:BB7"/>
    <mergeCell ref="AC8:AC10"/>
    <mergeCell ref="AE8:AR8"/>
    <mergeCell ref="AS8:AT8"/>
    <mergeCell ref="AU8:AZ8"/>
    <mergeCell ref="BA8:BB8"/>
    <mergeCell ref="BA22:BB22"/>
    <mergeCell ref="AE24:AR24"/>
    <mergeCell ref="AS24:AT24"/>
    <mergeCell ref="AC2:AE2"/>
    <mergeCell ref="AS2:AW2"/>
    <mergeCell ref="BA24:BB24"/>
    <mergeCell ref="BA14:BB14"/>
    <mergeCell ref="AC19:BB19"/>
    <mergeCell ref="AE20:AR20"/>
    <mergeCell ref="AU13:AZ13"/>
    <mergeCell ref="BA13:BB13"/>
    <mergeCell ref="BA9:BB9"/>
    <mergeCell ref="AE10:AR10"/>
    <mergeCell ref="AS10:AT10"/>
    <mergeCell ref="AU10:AZ10"/>
    <mergeCell ref="BA10:BB10"/>
    <mergeCell ref="BA11:BB11"/>
    <mergeCell ref="AE11:AR11"/>
    <mergeCell ref="AS11:AT11"/>
    <mergeCell ref="AU11:AZ11"/>
  </mergeCells>
  <dataValidations count="1">
    <dataValidation type="list" allowBlank="1" showInputMessage="1" showErrorMessage="1" sqref="V2:Z2" xr:uid="{0B111181-F7AC-43D0-B17A-51D20C0BE91D}">
      <formula1>"'   ,30%,60%,98%,100%,Construction Complete"</formula1>
    </dataValidation>
  </dataValidations>
  <printOptions horizontalCentered="1"/>
  <pageMargins left="0.25" right="0.25" top="0.75" bottom="0.75" header="0.3" footer="0.3"/>
  <pageSetup scale="78" orientation="landscape" r:id="rId1"/>
  <headerFooter>
    <oddFooter>&amp;LDate Printed: &amp;D&amp;CCN / Runoff Volume Page &amp;P of &amp;N</oddFooter>
  </headerFooter>
  <colBreaks count="1" manualBreakCount="1">
    <brk id="54" max="1048575" man="1"/>
  </colBreaks>
  <drawing r:id="rId2"/>
  <legacyDrawing r:id="rId3"/>
  <oleObjects>
    <mc:AlternateContent xmlns:mc="http://schemas.openxmlformats.org/markup-compatibility/2006">
      <mc:Choice Requires="x14">
        <oleObject progId="Word.Document.12" shapeId="30721" r:id="rId4">
          <objectPr defaultSize="0" autoPict="0" r:id="rId5">
            <anchor moveWithCells="1">
              <from>
                <xdr:col>0</xdr:col>
                <xdr:colOff>152400</xdr:colOff>
                <xdr:row>26</xdr:row>
                <xdr:rowOff>123825</xdr:rowOff>
              </from>
              <to>
                <xdr:col>27</xdr:col>
                <xdr:colOff>0</xdr:colOff>
                <xdr:row>52</xdr:row>
                <xdr:rowOff>104775</xdr:rowOff>
              </to>
            </anchor>
          </objectPr>
        </oleObject>
      </mc:Choice>
      <mc:Fallback>
        <oleObject progId="Word.Document.12" shapeId="30721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3" sqref="A3"/>
    </sheetView>
  </sheetViews>
  <sheetFormatPr defaultRowHeight="12.75" x14ac:dyDescent="0.2"/>
  <sheetData>
    <row r="1" spans="1:1" x14ac:dyDescent="0.2">
      <c r="A1" s="5"/>
    </row>
  </sheetData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47FBE-BB56-4144-933E-B6C05C44331D}">
  <sheetPr>
    <pageSetUpPr fitToPage="1"/>
  </sheetPr>
  <dimension ref="A1:O134"/>
  <sheetViews>
    <sheetView topLeftCell="A17" zoomScaleNormal="100" zoomScaleSheetLayoutView="80" workbookViewId="0">
      <selection activeCell="A125" sqref="A125:J125"/>
    </sheetView>
  </sheetViews>
  <sheetFormatPr defaultRowHeight="12.75" x14ac:dyDescent="0.2"/>
  <cols>
    <col min="1" max="1" width="8.140625" customWidth="1"/>
    <col min="2" max="2" width="19" customWidth="1"/>
    <col min="3" max="3" width="10.5703125" customWidth="1"/>
    <col min="4" max="4" width="8.85546875" customWidth="1"/>
    <col min="5" max="5" width="16.5703125" customWidth="1"/>
    <col min="6" max="6" width="8.42578125" customWidth="1"/>
    <col min="7" max="7" width="7.5703125" customWidth="1"/>
    <col min="8" max="8" width="8.140625" customWidth="1"/>
    <col min="9" max="9" width="6.85546875" customWidth="1"/>
    <col min="10" max="10" width="9.7109375" customWidth="1"/>
    <col min="11" max="11" width="12.140625" customWidth="1"/>
    <col min="12" max="12" width="59.85546875" customWidth="1"/>
    <col min="13" max="13" width="5.7109375" customWidth="1"/>
    <col min="14" max="14" width="15.5703125" customWidth="1"/>
    <col min="16" max="16" width="15.140625" customWidth="1"/>
  </cols>
  <sheetData>
    <row r="1" spans="1:15" ht="18" x14ac:dyDescent="0.25">
      <c r="A1" s="1" t="s">
        <v>0</v>
      </c>
      <c r="J1" s="6" t="s">
        <v>1</v>
      </c>
      <c r="K1" s="6" t="s">
        <v>2</v>
      </c>
      <c r="L1" s="19"/>
    </row>
    <row r="2" spans="1:15" ht="18" customHeight="1" x14ac:dyDescent="0.25">
      <c r="A2" s="1" t="s">
        <v>3</v>
      </c>
      <c r="J2" s="21" t="s">
        <v>4</v>
      </c>
      <c r="K2" s="97" t="s">
        <v>5</v>
      </c>
      <c r="L2" s="98"/>
    </row>
    <row r="3" spans="1:15" ht="18" x14ac:dyDescent="0.25">
      <c r="A3" s="1" t="s">
        <v>6</v>
      </c>
      <c r="J3" s="22" t="s">
        <v>7</v>
      </c>
      <c r="K3" s="98"/>
      <c r="L3" s="98"/>
      <c r="N3" s="7" t="s">
        <v>8</v>
      </c>
    </row>
    <row r="4" spans="1:15" ht="15" customHeight="1" x14ac:dyDescent="0.25">
      <c r="A4" s="1"/>
      <c r="K4" s="98"/>
      <c r="L4" s="98"/>
      <c r="N4" s="70" t="s">
        <v>9</v>
      </c>
      <c r="O4" s="70" t="s">
        <v>10</v>
      </c>
    </row>
    <row r="5" spans="1:15" ht="15" customHeight="1" x14ac:dyDescent="0.25">
      <c r="A5" s="99" t="s">
        <v>11</v>
      </c>
      <c r="B5" s="99"/>
      <c r="C5" s="201" t="s">
        <v>117</v>
      </c>
      <c r="D5" s="201"/>
      <c r="E5" s="201"/>
      <c r="F5" s="201"/>
      <c r="I5" s="65"/>
      <c r="K5" s="98"/>
      <c r="L5" s="98"/>
      <c r="N5" s="8" t="s">
        <v>12</v>
      </c>
      <c r="O5" s="8">
        <v>0.41</v>
      </c>
    </row>
    <row r="6" spans="1:15" ht="15" customHeight="1" x14ac:dyDescent="0.25">
      <c r="A6" s="69" t="s">
        <v>13</v>
      </c>
      <c r="B6" s="69"/>
      <c r="C6" s="74" t="s">
        <v>118</v>
      </c>
      <c r="D6" s="66"/>
      <c r="E6" s="66"/>
      <c r="F6" s="66"/>
      <c r="G6" s="69"/>
      <c r="H6" s="69"/>
      <c r="I6" s="69"/>
      <c r="K6" s="98"/>
      <c r="L6" s="98"/>
      <c r="N6" s="8" t="s">
        <v>14</v>
      </c>
      <c r="O6" s="8">
        <v>0.38</v>
      </c>
    </row>
    <row r="7" spans="1:15" ht="15" customHeight="1" thickBot="1" x14ac:dyDescent="0.3">
      <c r="A7" s="111" t="s">
        <v>15</v>
      </c>
      <c r="B7" s="111"/>
      <c r="C7" s="25">
        <v>1</v>
      </c>
      <c r="D7" s="69"/>
      <c r="E7" s="48"/>
      <c r="F7" s="26"/>
      <c r="K7" s="98"/>
      <c r="L7" s="98"/>
      <c r="N7" s="8" t="s">
        <v>17</v>
      </c>
      <c r="O7" s="8">
        <v>0.28000000000000003</v>
      </c>
    </row>
    <row r="8" spans="1:15" ht="15" customHeight="1" x14ac:dyDescent="0.25">
      <c r="A8" s="111" t="s">
        <v>18</v>
      </c>
      <c r="B8" s="111"/>
      <c r="C8" s="27">
        <f>SUMIF(J24:J504,"Subtotal Constructed Volume (gallons)",K24:K504)</f>
        <v>106669.78666666667</v>
      </c>
      <c r="D8" s="28" t="s">
        <v>19</v>
      </c>
      <c r="E8" s="49" t="s">
        <v>20</v>
      </c>
      <c r="F8" s="50"/>
      <c r="G8" s="50"/>
      <c r="H8" s="50"/>
      <c r="I8" s="51"/>
      <c r="K8" s="98"/>
      <c r="L8" s="98"/>
      <c r="N8" s="8" t="s">
        <v>21</v>
      </c>
      <c r="O8" s="8">
        <v>0.28000000000000003</v>
      </c>
    </row>
    <row r="9" spans="1:15" ht="15" customHeight="1" x14ac:dyDescent="0.25">
      <c r="A9" s="111" t="s">
        <v>22</v>
      </c>
      <c r="B9" s="111"/>
      <c r="C9" s="27">
        <f>SUMIF(J24:J504,"Infiltration Volume (gallons)",K24:K504)</f>
        <v>137669.40000000002</v>
      </c>
      <c r="D9" s="28" t="s">
        <v>19</v>
      </c>
      <c r="E9" s="100" t="str">
        <f>IF(ISNUMBER('Example CN &amp; Runoff Volume'!AU22),IF(C10=0,"To be determined",IF(C10&lt;'Example CN &amp; Runoff Volume'!AU22,"WARNING! DRC does not meet the 10-yr runoff volume",IF(C10&gt;'Example CN &amp; Runoff Volume'!AU26,"DRC exceeds the 100-yr runoff volume - DRC will be capped to calculate MWRD Contribution","DRC is between the 10- to 100-yr runoff volume"))),"Please fill in CN &amp; Runoff Volume tab")</f>
        <v>DRC exceeds the 100-yr runoff volume - DRC will be capped to calculate MWRD Contribution</v>
      </c>
      <c r="F9" s="101"/>
      <c r="G9" s="101"/>
      <c r="H9" s="101"/>
      <c r="I9" s="102"/>
      <c r="K9" s="98"/>
      <c r="L9" s="98"/>
      <c r="N9" s="8" t="s">
        <v>23</v>
      </c>
      <c r="O9" s="8">
        <v>0.25</v>
      </c>
    </row>
    <row r="10" spans="1:15" ht="15" customHeight="1" thickBot="1" x14ac:dyDescent="0.3">
      <c r="A10" s="107" t="s">
        <v>24</v>
      </c>
      <c r="B10" s="108"/>
      <c r="C10" s="29">
        <f>SUM(C8:C9)</f>
        <v>244339.1866666667</v>
      </c>
      <c r="D10" s="30" t="s">
        <v>19</v>
      </c>
      <c r="E10" s="103"/>
      <c r="F10" s="104"/>
      <c r="G10" s="104"/>
      <c r="H10" s="104"/>
      <c r="I10" s="105"/>
      <c r="K10" s="98"/>
      <c r="L10" s="98"/>
    </row>
    <row r="11" spans="1:15" ht="15" customHeight="1" x14ac:dyDescent="0.25">
      <c r="A11" s="107" t="s">
        <v>25</v>
      </c>
      <c r="B11" s="108"/>
      <c r="C11" s="29">
        <f>IF(C10&gt;'Example CN &amp; Runoff Volume'!AU26,'Example CN &amp; Runoff Volume'!AU26,C10)</f>
        <v>169186.20232398875</v>
      </c>
      <c r="D11" s="53" t="s">
        <v>19</v>
      </c>
      <c r="H11" s="48"/>
      <c r="I11" s="48"/>
      <c r="J11" s="48"/>
      <c r="K11" s="98"/>
      <c r="L11" s="98"/>
      <c r="N11" s="8"/>
      <c r="O11" s="8"/>
    </row>
    <row r="12" spans="1:15" ht="15" customHeight="1" x14ac:dyDescent="0.25">
      <c r="A12" s="111" t="s">
        <v>26</v>
      </c>
      <c r="B12" s="111"/>
      <c r="C12" s="27">
        <f>C11-C8</f>
        <v>62516.415657322083</v>
      </c>
      <c r="D12" s="56" t="s">
        <v>19</v>
      </c>
      <c r="H12" s="48"/>
      <c r="I12" s="48"/>
      <c r="J12" s="48"/>
      <c r="K12" s="98"/>
      <c r="L12" s="98"/>
      <c r="N12" s="8"/>
      <c r="O12" s="8"/>
    </row>
    <row r="13" spans="1:15" ht="15" customHeight="1" x14ac:dyDescent="0.2">
      <c r="A13" s="95" t="s">
        <v>27</v>
      </c>
      <c r="B13" s="95"/>
      <c r="C13" s="37">
        <v>4</v>
      </c>
      <c r="D13" s="54" t="s">
        <v>28</v>
      </c>
      <c r="F13" s="37">
        <v>1</v>
      </c>
      <c r="G13" s="54" t="s">
        <v>29</v>
      </c>
      <c r="I13" s="48"/>
      <c r="J13" s="48"/>
      <c r="K13" s="98"/>
      <c r="L13" s="98"/>
    </row>
    <row r="14" spans="1:15" ht="14.25" x14ac:dyDescent="0.2">
      <c r="A14" s="197" t="s">
        <v>30</v>
      </c>
      <c r="B14" s="197"/>
      <c r="C14" s="198">
        <f>C8*C13+C12*F13</f>
        <v>489195.56232398876</v>
      </c>
      <c r="D14" s="199"/>
      <c r="E14" s="48"/>
      <c r="F14" s="48"/>
      <c r="G14" s="48"/>
      <c r="H14" s="48"/>
      <c r="I14" s="48"/>
      <c r="J14" s="48"/>
      <c r="K14" s="98"/>
      <c r="L14" s="98"/>
    </row>
    <row r="15" spans="1:15" ht="14.25" x14ac:dyDescent="0.2">
      <c r="A15" s="200" t="s">
        <v>31</v>
      </c>
      <c r="B15" s="200"/>
      <c r="C15" s="110">
        <v>1000000</v>
      </c>
      <c r="D15" s="110"/>
      <c r="E15" s="48"/>
      <c r="F15" s="48"/>
      <c r="G15" s="48"/>
      <c r="H15" s="48"/>
      <c r="I15" s="48"/>
      <c r="J15" s="48"/>
      <c r="K15" s="98"/>
      <c r="L15" s="98"/>
    </row>
    <row r="16" spans="1:15" ht="14.25" x14ac:dyDescent="0.2">
      <c r="A16" s="87" t="s">
        <v>32</v>
      </c>
      <c r="B16" s="87"/>
      <c r="C16" s="57">
        <v>0.5</v>
      </c>
      <c r="D16" s="66"/>
      <c r="E16" s="90" t="s">
        <v>34</v>
      </c>
      <c r="F16" s="90"/>
      <c r="G16" s="91">
        <v>500000</v>
      </c>
      <c r="H16" s="91"/>
      <c r="I16" s="48"/>
      <c r="J16" s="48"/>
      <c r="K16" s="98"/>
      <c r="L16" s="98"/>
    </row>
    <row r="17" spans="1:14" ht="28.5" customHeight="1" x14ac:dyDescent="0.25">
      <c r="A17" s="88" t="s">
        <v>36</v>
      </c>
      <c r="B17" s="88"/>
      <c r="C17" s="84">
        <f>MIN(C14,C15*C16,G16)</f>
        <v>489195.56232398876</v>
      </c>
      <c r="D17" s="85"/>
      <c r="E17" s="48"/>
      <c r="F17" s="48"/>
      <c r="G17" s="48"/>
      <c r="H17" s="48"/>
      <c r="I17" s="48"/>
      <c r="J17" s="48"/>
      <c r="K17" s="98"/>
      <c r="L17" s="98"/>
    </row>
    <row r="18" spans="1:14" ht="27" customHeight="1" x14ac:dyDescent="0.2">
      <c r="A18" s="89" t="s">
        <v>37</v>
      </c>
      <c r="B18" s="89"/>
      <c r="C18" s="93"/>
      <c r="D18" s="93"/>
      <c r="E18" s="93"/>
      <c r="F18" s="89" t="s">
        <v>38</v>
      </c>
      <c r="G18" s="89"/>
      <c r="H18" s="78"/>
      <c r="I18" s="78"/>
      <c r="K18" s="98"/>
      <c r="L18" s="98"/>
    </row>
    <row r="19" spans="1:14" x14ac:dyDescent="0.2">
      <c r="K19" s="98"/>
      <c r="L19" s="98"/>
    </row>
    <row r="20" spans="1:14" x14ac:dyDescent="0.2">
      <c r="K20" s="68"/>
      <c r="L20" s="68"/>
    </row>
    <row r="21" spans="1:14" ht="15" x14ac:dyDescent="0.25">
      <c r="A21" s="31" t="s">
        <v>119</v>
      </c>
      <c r="N21" s="14" t="s">
        <v>40</v>
      </c>
    </row>
    <row r="22" spans="1:14" x14ac:dyDescent="0.2">
      <c r="A22" s="77" t="s">
        <v>41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</row>
    <row r="23" spans="1:14" s="4" customFormat="1" ht="25.5" x14ac:dyDescent="0.2">
      <c r="A23" s="18" t="s">
        <v>42</v>
      </c>
      <c r="B23" s="82" t="s">
        <v>43</v>
      </c>
      <c r="C23" s="82"/>
      <c r="D23" s="9" t="s">
        <v>10</v>
      </c>
      <c r="E23" s="9" t="s">
        <v>44</v>
      </c>
      <c r="F23" s="9" t="s">
        <v>45</v>
      </c>
      <c r="G23" s="9" t="s">
        <v>46</v>
      </c>
      <c r="H23" s="9" t="s">
        <v>47</v>
      </c>
      <c r="I23" s="9" t="s">
        <v>48</v>
      </c>
      <c r="J23" s="9" t="s">
        <v>49</v>
      </c>
      <c r="K23" s="9" t="s">
        <v>50</v>
      </c>
      <c r="L23" s="9" t="s">
        <v>51</v>
      </c>
    </row>
    <row r="24" spans="1:14" ht="12.75" customHeight="1" x14ac:dyDescent="0.2">
      <c r="A24" s="3">
        <v>1</v>
      </c>
      <c r="B24" s="80" t="s">
        <v>120</v>
      </c>
      <c r="C24" s="80"/>
      <c r="D24" s="10">
        <v>0.28000000000000003</v>
      </c>
      <c r="E24" s="15" t="s">
        <v>121</v>
      </c>
      <c r="F24" s="24" cm="1">
        <f t="array" ref="F24">_xlfn.IFS(E24="above invert",0.5,E24="below invert",1,E24="ponding",1,E24=" ",0)</f>
        <v>1</v>
      </c>
      <c r="G24" s="11">
        <f>2/12</f>
        <v>0.16666666666666666</v>
      </c>
      <c r="H24" s="10">
        <v>800</v>
      </c>
      <c r="I24" s="10">
        <v>4</v>
      </c>
      <c r="J24" s="12">
        <f>H24*I24</f>
        <v>3200</v>
      </c>
      <c r="K24" s="13">
        <f>D24*G24*J24*F24</f>
        <v>149.33333333333334</v>
      </c>
      <c r="L24" s="79" t="s">
        <v>122</v>
      </c>
    </row>
    <row r="25" spans="1:14" x14ac:dyDescent="0.2">
      <c r="A25" s="3">
        <v>2</v>
      </c>
      <c r="B25" s="80" t="s">
        <v>123</v>
      </c>
      <c r="C25" s="80"/>
      <c r="D25" s="10">
        <v>0.38</v>
      </c>
      <c r="E25" s="15" t="s">
        <v>121</v>
      </c>
      <c r="F25" s="24" cm="1">
        <f t="array" ref="F25">_xlfn.IFS(E25="above invert",0.5,E25="below invert",1,E25="ponding",1,E25=" ",0)</f>
        <v>1</v>
      </c>
      <c r="G25" s="11">
        <f>4/12</f>
        <v>0.33333333333333331</v>
      </c>
      <c r="H25" s="10">
        <v>800</v>
      </c>
      <c r="I25" s="10">
        <v>4</v>
      </c>
      <c r="J25" s="12">
        <f t="shared" ref="J25:J28" si="0">H25*I25</f>
        <v>3200</v>
      </c>
      <c r="K25" s="13">
        <f>D25*G25*J25*F25</f>
        <v>405.33333333333326</v>
      </c>
      <c r="L25" s="79"/>
    </row>
    <row r="26" spans="1:14" x14ac:dyDescent="0.2">
      <c r="A26" s="3">
        <v>3</v>
      </c>
      <c r="B26" s="80" t="s">
        <v>124</v>
      </c>
      <c r="C26" s="80"/>
      <c r="D26" s="10">
        <v>0.38</v>
      </c>
      <c r="E26" s="15" t="s">
        <v>121</v>
      </c>
      <c r="F26" s="24" cm="1">
        <f t="array" ref="F26">_xlfn.IFS(E26="above invert",0.5,E26="below invert",1,E26="ponding",1,E26=" ",0)</f>
        <v>1</v>
      </c>
      <c r="G26" s="11">
        <f>4/12</f>
        <v>0.33333333333333331</v>
      </c>
      <c r="H26" s="10">
        <v>800</v>
      </c>
      <c r="I26" s="10">
        <v>12</v>
      </c>
      <c r="J26" s="12">
        <f t="shared" si="0"/>
        <v>9600</v>
      </c>
      <c r="K26" s="13">
        <f>D26*G26*J26*F26</f>
        <v>1215.9999999999998</v>
      </c>
      <c r="L26" s="79"/>
    </row>
    <row r="27" spans="1:14" x14ac:dyDescent="0.2">
      <c r="A27" s="3">
        <v>4</v>
      </c>
      <c r="B27" s="80" t="s">
        <v>125</v>
      </c>
      <c r="C27" s="80"/>
      <c r="D27" s="10">
        <v>0.41</v>
      </c>
      <c r="E27" s="15" t="s">
        <v>121</v>
      </c>
      <c r="F27" s="24" cm="1">
        <f t="array" ref="F27">_xlfn.IFS(E27="above invert",0.5,E27="below invert",1,E27="ponding",1,E27=" ",0)</f>
        <v>1</v>
      </c>
      <c r="G27" s="11">
        <f>30/12</f>
        <v>2.5</v>
      </c>
      <c r="H27" s="10">
        <v>800</v>
      </c>
      <c r="I27" s="10">
        <v>12</v>
      </c>
      <c r="J27" s="12">
        <f t="shared" si="0"/>
        <v>9600</v>
      </c>
      <c r="K27" s="13">
        <f>D27*G27*J27*F27</f>
        <v>9840</v>
      </c>
      <c r="L27" s="79"/>
    </row>
    <row r="28" spans="1:14" x14ac:dyDescent="0.2">
      <c r="A28" s="3">
        <v>5</v>
      </c>
      <c r="B28" s="80"/>
      <c r="C28" s="80"/>
      <c r="D28" s="10"/>
      <c r="E28" s="15" t="s">
        <v>52</v>
      </c>
      <c r="F28" s="24" cm="1">
        <f t="array" ref="F28">_xlfn.IFS(E28="above invert",0.5,E28="below invert",1,E28="ponding",1,E28=" ",0)</f>
        <v>0</v>
      </c>
      <c r="G28" s="10"/>
      <c r="H28" s="10"/>
      <c r="I28" s="10"/>
      <c r="J28" s="12">
        <f t="shared" si="0"/>
        <v>0</v>
      </c>
      <c r="K28" s="13">
        <f>D28*G28*J28*F28</f>
        <v>0</v>
      </c>
      <c r="L28" s="79"/>
    </row>
    <row r="29" spans="1:14" x14ac:dyDescent="0.2">
      <c r="J29" s="62" t="s">
        <v>53</v>
      </c>
      <c r="K29" s="13">
        <f>SUM(K24:K28)</f>
        <v>11610.666666666666</v>
      </c>
      <c r="L29" s="79"/>
    </row>
    <row r="30" spans="1:14" x14ac:dyDescent="0.2">
      <c r="C30" s="14"/>
      <c r="D30" s="14"/>
      <c r="E30" s="14"/>
      <c r="F30" s="14"/>
      <c r="G30" s="14"/>
      <c r="H30" s="14"/>
      <c r="I30" s="14"/>
      <c r="J30" s="17" t="s">
        <v>54</v>
      </c>
      <c r="K30" s="16">
        <f>K29*7.48</f>
        <v>86847.786666666667</v>
      </c>
      <c r="L30" s="79"/>
    </row>
    <row r="31" spans="1:14" x14ac:dyDescent="0.2">
      <c r="C31" s="14"/>
      <c r="D31" s="14"/>
      <c r="E31" s="14"/>
      <c r="F31" s="14"/>
      <c r="G31" s="14"/>
      <c r="H31" s="14"/>
      <c r="I31" s="14"/>
      <c r="K31" s="17"/>
      <c r="L31" s="17"/>
    </row>
    <row r="32" spans="1:14" x14ac:dyDescent="0.2">
      <c r="A32" s="77" t="s">
        <v>55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9" t="s">
        <v>51</v>
      </c>
    </row>
    <row r="33" spans="1:14" x14ac:dyDescent="0.2">
      <c r="A33" s="76" t="s">
        <v>56</v>
      </c>
      <c r="B33" s="76"/>
      <c r="C33" s="76"/>
      <c r="D33" s="76"/>
      <c r="E33" s="76"/>
      <c r="F33" s="76"/>
      <c r="G33" s="76"/>
      <c r="H33" s="76"/>
      <c r="I33" s="76"/>
      <c r="J33" s="76"/>
      <c r="K33" s="32">
        <v>10</v>
      </c>
      <c r="L33" s="20" t="s">
        <v>126</v>
      </c>
    </row>
    <row r="34" spans="1:14" x14ac:dyDescent="0.2">
      <c r="A34" s="81" t="s">
        <v>57</v>
      </c>
      <c r="B34" s="81"/>
      <c r="C34" s="81"/>
      <c r="D34" s="81"/>
      <c r="E34" s="81"/>
      <c r="F34" s="81"/>
      <c r="G34" s="81"/>
      <c r="H34" s="81"/>
      <c r="I34" s="81"/>
      <c r="J34" s="81"/>
      <c r="K34" s="32">
        <v>6</v>
      </c>
      <c r="L34" s="20" t="s">
        <v>127</v>
      </c>
    </row>
    <row r="35" spans="1:14" ht="25.5" customHeight="1" x14ac:dyDescent="0.2">
      <c r="A35" s="76" t="s">
        <v>58</v>
      </c>
      <c r="B35" s="76"/>
      <c r="C35" s="76"/>
      <c r="D35" s="76"/>
      <c r="E35" s="76"/>
      <c r="F35" s="76"/>
      <c r="G35" s="76"/>
      <c r="H35" s="76"/>
      <c r="I35" s="76"/>
      <c r="J35" s="76"/>
      <c r="K35" s="33">
        <f>K33-K34</f>
        <v>4</v>
      </c>
      <c r="L35" s="20"/>
    </row>
    <row r="36" spans="1:14" x14ac:dyDescent="0.2">
      <c r="C36" s="14"/>
      <c r="D36" s="14"/>
      <c r="E36" s="14"/>
      <c r="F36" s="14"/>
      <c r="G36" s="14"/>
      <c r="H36" s="14"/>
      <c r="I36" s="14"/>
      <c r="K36" s="17"/>
      <c r="L36" s="17"/>
    </row>
    <row r="37" spans="1:14" x14ac:dyDescent="0.2">
      <c r="A37" s="77" t="s">
        <v>59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9" t="s">
        <v>51</v>
      </c>
    </row>
    <row r="38" spans="1:14" ht="25.5" customHeight="1" x14ac:dyDescent="0.2">
      <c r="A38" s="76" t="s">
        <v>60</v>
      </c>
      <c r="B38" s="76"/>
      <c r="C38" s="76"/>
      <c r="D38" s="76"/>
      <c r="E38" s="76"/>
      <c r="F38" s="76"/>
      <c r="G38" s="76"/>
      <c r="H38" s="76"/>
      <c r="I38" s="76"/>
      <c r="J38" s="76"/>
      <c r="K38" s="32">
        <v>5.3</v>
      </c>
      <c r="L38" s="20" t="s">
        <v>127</v>
      </c>
    </row>
    <row r="39" spans="1:14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2" t="s">
        <v>61</v>
      </c>
      <c r="K39" s="34">
        <f>IF(K38&gt;3.6,3.6,K38)</f>
        <v>3.6</v>
      </c>
      <c r="L39" s="20"/>
    </row>
    <row r="40" spans="1:14" x14ac:dyDescent="0.2">
      <c r="A40" s="81" t="s">
        <v>62</v>
      </c>
      <c r="B40" s="81"/>
      <c r="C40" s="81"/>
      <c r="D40" s="81"/>
      <c r="E40" s="81"/>
      <c r="F40" s="81"/>
      <c r="G40" s="81"/>
      <c r="H40" s="81"/>
      <c r="I40" s="81"/>
      <c r="J40" s="81" t="s">
        <v>62</v>
      </c>
      <c r="K40" s="32">
        <f>J26</f>
        <v>9600</v>
      </c>
      <c r="L40" s="20" t="s">
        <v>128</v>
      </c>
    </row>
    <row r="41" spans="1:14" x14ac:dyDescent="0.2">
      <c r="A41" s="81" t="s">
        <v>63</v>
      </c>
      <c r="B41" s="81"/>
      <c r="C41" s="81"/>
      <c r="D41" s="81"/>
      <c r="E41" s="81"/>
      <c r="F41" s="81"/>
      <c r="G41" s="81"/>
      <c r="H41" s="81"/>
      <c r="I41" s="81"/>
      <c r="J41" s="81"/>
      <c r="K41" s="34">
        <f>K39*K40*6/12</f>
        <v>17280</v>
      </c>
      <c r="L41" s="20"/>
    </row>
    <row r="42" spans="1:14" ht="13.5" customHeight="1" x14ac:dyDescent="0.2">
      <c r="A42" s="63"/>
      <c r="B42" s="62"/>
      <c r="C42" s="62"/>
      <c r="D42" s="62"/>
      <c r="E42" s="62"/>
      <c r="F42" s="62"/>
      <c r="G42" s="62"/>
      <c r="H42" s="62"/>
      <c r="I42" s="62"/>
      <c r="J42" s="17" t="s">
        <v>64</v>
      </c>
      <c r="K42" s="35">
        <f>K41*7.48</f>
        <v>129254.40000000001</v>
      </c>
      <c r="L42" s="20"/>
    </row>
    <row r="44" spans="1:14" ht="15.75" x14ac:dyDescent="0.25">
      <c r="A44" s="31" t="s">
        <v>129</v>
      </c>
      <c r="C44" s="2"/>
      <c r="N44" s="14" t="s">
        <v>40</v>
      </c>
    </row>
    <row r="45" spans="1:14" x14ac:dyDescent="0.2">
      <c r="A45" s="77" t="s">
        <v>41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</row>
    <row r="46" spans="1:14" s="4" customFormat="1" ht="25.5" x14ac:dyDescent="0.2">
      <c r="A46" s="18" t="s">
        <v>42</v>
      </c>
      <c r="B46" s="82" t="s">
        <v>43</v>
      </c>
      <c r="C46" s="82"/>
      <c r="D46" s="9" t="s">
        <v>10</v>
      </c>
      <c r="E46" s="9" t="s">
        <v>44</v>
      </c>
      <c r="F46" s="9" t="s">
        <v>45</v>
      </c>
      <c r="G46" s="9" t="s">
        <v>46</v>
      </c>
      <c r="H46" s="9" t="s">
        <v>47</v>
      </c>
      <c r="I46" s="9" t="s">
        <v>48</v>
      </c>
      <c r="J46" s="9" t="s">
        <v>49</v>
      </c>
      <c r="K46" s="9" t="s">
        <v>50</v>
      </c>
      <c r="L46" s="9" t="s">
        <v>51</v>
      </c>
    </row>
    <row r="47" spans="1:14" ht="12.75" customHeight="1" x14ac:dyDescent="0.2">
      <c r="A47" s="3">
        <v>1</v>
      </c>
      <c r="B47" s="80" t="s">
        <v>130</v>
      </c>
      <c r="C47" s="80"/>
      <c r="D47" s="23">
        <v>1</v>
      </c>
      <c r="E47" s="15" t="s">
        <v>130</v>
      </c>
      <c r="F47" s="24" cm="1">
        <f t="array" ref="F47">_xlfn.IFS(E47="above invert",0.5,E47="below invert",1,E47="ponding",1,E47=" ",0)</f>
        <v>1</v>
      </c>
      <c r="G47" s="11">
        <f>12/12</f>
        <v>1</v>
      </c>
      <c r="H47" s="10">
        <v>50</v>
      </c>
      <c r="I47" s="10">
        <f>AVERAGE(40,30)</f>
        <v>35</v>
      </c>
      <c r="J47" s="12">
        <f>H47*I47</f>
        <v>1750</v>
      </c>
      <c r="K47" s="13">
        <f>D47*G47*J47*F47</f>
        <v>1750</v>
      </c>
      <c r="L47" s="79" t="s">
        <v>131</v>
      </c>
    </row>
    <row r="48" spans="1:14" x14ac:dyDescent="0.2">
      <c r="A48" s="3">
        <v>2</v>
      </c>
      <c r="B48" s="80" t="s">
        <v>132</v>
      </c>
      <c r="C48" s="80"/>
      <c r="D48" s="10">
        <v>0.25</v>
      </c>
      <c r="E48" s="15" t="s">
        <v>133</v>
      </c>
      <c r="F48" s="24" cm="1">
        <f t="array" ref="F48">_xlfn.IFS(E48="above invert",0.5,E48="below invert",1,E48="ponding",1,E48=" ",0)</f>
        <v>0.5</v>
      </c>
      <c r="G48" s="11">
        <f>12/12</f>
        <v>1</v>
      </c>
      <c r="H48" s="10">
        <v>50</v>
      </c>
      <c r="I48" s="10">
        <v>30</v>
      </c>
      <c r="J48" s="12">
        <f t="shared" ref="J48:J51" si="1">H48*I48</f>
        <v>1500</v>
      </c>
      <c r="K48" s="13">
        <f>D48*G48*J48*F48</f>
        <v>187.5</v>
      </c>
      <c r="L48" s="79"/>
    </row>
    <row r="49" spans="1:12" x14ac:dyDescent="0.2">
      <c r="A49" s="3">
        <v>3</v>
      </c>
      <c r="B49" s="80" t="s">
        <v>134</v>
      </c>
      <c r="C49" s="80"/>
      <c r="D49" s="10">
        <v>0.38</v>
      </c>
      <c r="E49" s="15" t="s">
        <v>133</v>
      </c>
      <c r="F49" s="24" cm="1">
        <f t="array" ref="F49">_xlfn.IFS(E49="above invert",0.5,E49="below invert",1,E49="ponding",1,E49=" ",0)</f>
        <v>0.5</v>
      </c>
      <c r="G49" s="11">
        <f>6/12</f>
        <v>0.5</v>
      </c>
      <c r="H49" s="10">
        <v>50</v>
      </c>
      <c r="I49" s="10">
        <v>30</v>
      </c>
      <c r="J49" s="12">
        <f t="shared" si="1"/>
        <v>1500</v>
      </c>
      <c r="K49" s="13">
        <f>D49*G49*J49*F49</f>
        <v>142.5</v>
      </c>
      <c r="L49" s="79"/>
    </row>
    <row r="50" spans="1:12" x14ac:dyDescent="0.2">
      <c r="A50" s="3">
        <v>4</v>
      </c>
      <c r="B50" s="80" t="s">
        <v>134</v>
      </c>
      <c r="C50" s="80"/>
      <c r="D50" s="10">
        <v>0.38</v>
      </c>
      <c r="E50" s="15" t="s">
        <v>121</v>
      </c>
      <c r="F50" s="24" cm="1">
        <f t="array" ref="F50">_xlfn.IFS(E50="above invert",0.5,E50="below invert",1,E50="ponding",1,E50=" ",0)</f>
        <v>1</v>
      </c>
      <c r="G50" s="11">
        <f>12/12</f>
        <v>1</v>
      </c>
      <c r="H50" s="10">
        <v>50</v>
      </c>
      <c r="I50" s="10">
        <v>30</v>
      </c>
      <c r="J50" s="12">
        <f t="shared" si="1"/>
        <v>1500</v>
      </c>
      <c r="K50" s="13">
        <f>D50*G50*J50*F50</f>
        <v>570</v>
      </c>
      <c r="L50" s="79"/>
    </row>
    <row r="51" spans="1:12" x14ac:dyDescent="0.2">
      <c r="A51" s="3">
        <v>5</v>
      </c>
      <c r="B51" s="80"/>
      <c r="C51" s="80"/>
      <c r="D51" s="10"/>
      <c r="E51" s="15" t="s">
        <v>52</v>
      </c>
      <c r="F51" s="24" cm="1">
        <f t="array" ref="F51">_xlfn.IFS(E51="above invert",0.5,E51="below invert",1,E51="ponding",1,E51=" ",0)</f>
        <v>0</v>
      </c>
      <c r="G51" s="10"/>
      <c r="H51" s="10"/>
      <c r="I51" s="10"/>
      <c r="J51" s="12">
        <f t="shared" si="1"/>
        <v>0</v>
      </c>
      <c r="K51" s="13">
        <f>D51*G51*J51*F51</f>
        <v>0</v>
      </c>
      <c r="L51" s="79"/>
    </row>
    <row r="52" spans="1:12" x14ac:dyDescent="0.2">
      <c r="J52" s="62" t="s">
        <v>53</v>
      </c>
      <c r="K52" s="13">
        <f>SUM(K47:K51)</f>
        <v>2650</v>
      </c>
      <c r="L52" s="79"/>
    </row>
    <row r="53" spans="1:12" x14ac:dyDescent="0.2">
      <c r="C53" s="14"/>
      <c r="D53" s="14"/>
      <c r="E53" s="14"/>
      <c r="F53" s="14"/>
      <c r="G53" s="14"/>
      <c r="H53" s="14"/>
      <c r="I53" s="14"/>
      <c r="J53" s="17" t="s">
        <v>54</v>
      </c>
      <c r="K53" s="16">
        <f>K52*7.48</f>
        <v>19822</v>
      </c>
      <c r="L53" s="79"/>
    </row>
    <row r="54" spans="1:12" x14ac:dyDescent="0.2">
      <c r="C54" s="14"/>
      <c r="D54" s="14"/>
      <c r="E54" s="14"/>
      <c r="F54" s="14"/>
      <c r="G54" s="14"/>
      <c r="H54" s="14"/>
      <c r="I54" s="14"/>
      <c r="K54" s="17"/>
      <c r="L54" s="17"/>
    </row>
    <row r="55" spans="1:12" x14ac:dyDescent="0.2">
      <c r="A55" s="77" t="s">
        <v>55</v>
      </c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9" t="s">
        <v>51</v>
      </c>
    </row>
    <row r="56" spans="1:12" x14ac:dyDescent="0.2">
      <c r="A56" s="76" t="s">
        <v>56</v>
      </c>
      <c r="B56" s="76"/>
      <c r="C56" s="76"/>
      <c r="D56" s="76"/>
      <c r="E56" s="76"/>
      <c r="F56" s="76"/>
      <c r="G56" s="76"/>
      <c r="H56" s="76"/>
      <c r="I56" s="76"/>
      <c r="J56" s="76"/>
      <c r="K56" s="36">
        <v>10</v>
      </c>
      <c r="L56" s="20" t="s">
        <v>126</v>
      </c>
    </row>
    <row r="57" spans="1:12" x14ac:dyDescent="0.2">
      <c r="A57" s="81" t="s">
        <v>57</v>
      </c>
      <c r="B57" s="81"/>
      <c r="C57" s="81"/>
      <c r="D57" s="81"/>
      <c r="E57" s="81"/>
      <c r="F57" s="81"/>
      <c r="G57" s="81"/>
      <c r="H57" s="81"/>
      <c r="I57" s="81"/>
      <c r="J57" s="81"/>
      <c r="K57" s="36">
        <v>6</v>
      </c>
      <c r="L57" s="20" t="s">
        <v>127</v>
      </c>
    </row>
    <row r="58" spans="1:12" ht="25.5" customHeight="1" x14ac:dyDescent="0.2">
      <c r="A58" s="76" t="s">
        <v>58</v>
      </c>
      <c r="B58" s="76"/>
      <c r="C58" s="76"/>
      <c r="D58" s="76"/>
      <c r="E58" s="76"/>
      <c r="F58" s="76"/>
      <c r="G58" s="76"/>
      <c r="H58" s="76"/>
      <c r="I58" s="76"/>
      <c r="J58" s="76"/>
      <c r="K58" s="33">
        <f>K56-K57</f>
        <v>4</v>
      </c>
      <c r="L58" s="20"/>
    </row>
    <row r="59" spans="1:12" x14ac:dyDescent="0.2">
      <c r="C59" s="14"/>
      <c r="D59" s="14"/>
      <c r="E59" s="14"/>
      <c r="F59" s="14"/>
      <c r="G59" s="14"/>
      <c r="H59" s="14"/>
      <c r="I59" s="14"/>
      <c r="K59" s="17"/>
      <c r="L59" s="17"/>
    </row>
    <row r="60" spans="1:12" x14ac:dyDescent="0.2">
      <c r="A60" s="77" t="s">
        <v>59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9" t="s">
        <v>51</v>
      </c>
    </row>
    <row r="61" spans="1:12" ht="25.5" customHeight="1" x14ac:dyDescent="0.2">
      <c r="A61" s="76" t="s">
        <v>60</v>
      </c>
      <c r="B61" s="76"/>
      <c r="C61" s="76"/>
      <c r="D61" s="76"/>
      <c r="E61" s="76"/>
      <c r="F61" s="76"/>
      <c r="G61" s="76"/>
      <c r="H61" s="76"/>
      <c r="I61" s="76"/>
      <c r="J61" s="76"/>
      <c r="K61" s="32">
        <v>1.5</v>
      </c>
      <c r="L61" s="20" t="s">
        <v>127</v>
      </c>
    </row>
    <row r="62" spans="1:12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2" t="s">
        <v>61</v>
      </c>
      <c r="K62" s="34">
        <f>IF(K61&gt;3.6,3.6,K61)</f>
        <v>1.5</v>
      </c>
      <c r="L62" s="20"/>
    </row>
    <row r="63" spans="1:12" x14ac:dyDescent="0.2">
      <c r="A63" s="81" t="s">
        <v>62</v>
      </c>
      <c r="B63" s="81"/>
      <c r="C63" s="81"/>
      <c r="D63" s="81"/>
      <c r="E63" s="81"/>
      <c r="F63" s="81"/>
      <c r="G63" s="81"/>
      <c r="H63" s="81"/>
      <c r="I63" s="81"/>
      <c r="J63" s="81" t="s">
        <v>62</v>
      </c>
      <c r="K63" s="36">
        <f>J49</f>
        <v>1500</v>
      </c>
      <c r="L63" s="20" t="s">
        <v>135</v>
      </c>
    </row>
    <row r="64" spans="1:12" x14ac:dyDescent="0.2">
      <c r="A64" s="81" t="s">
        <v>63</v>
      </c>
      <c r="B64" s="81"/>
      <c r="C64" s="81"/>
      <c r="D64" s="81"/>
      <c r="E64" s="81"/>
      <c r="F64" s="81"/>
      <c r="G64" s="81"/>
      <c r="H64" s="81"/>
      <c r="I64" s="81"/>
      <c r="J64" s="81"/>
      <c r="K64" s="34">
        <f>K62*K63*6/12</f>
        <v>1125</v>
      </c>
      <c r="L64" s="20"/>
    </row>
    <row r="65" spans="1:14" ht="13.5" customHeight="1" x14ac:dyDescent="0.2">
      <c r="A65" s="63"/>
      <c r="B65" s="62"/>
      <c r="C65" s="62"/>
      <c r="D65" s="62"/>
      <c r="E65" s="62"/>
      <c r="F65" s="62"/>
      <c r="G65" s="62"/>
      <c r="H65" s="62"/>
      <c r="I65" s="62"/>
      <c r="J65" s="17" t="s">
        <v>64</v>
      </c>
      <c r="K65" s="35">
        <f>K64*7.48</f>
        <v>8415</v>
      </c>
      <c r="L65" s="20"/>
    </row>
    <row r="67" spans="1:14" ht="15.75" x14ac:dyDescent="0.25">
      <c r="A67" s="31" t="s">
        <v>66</v>
      </c>
      <c r="C67" s="2"/>
      <c r="N67" s="14" t="s">
        <v>40</v>
      </c>
    </row>
    <row r="68" spans="1:14" x14ac:dyDescent="0.2">
      <c r="A68" s="77" t="s">
        <v>41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</row>
    <row r="69" spans="1:14" s="4" customFormat="1" ht="25.5" x14ac:dyDescent="0.2">
      <c r="A69" s="18" t="s">
        <v>42</v>
      </c>
      <c r="B69" s="82" t="s">
        <v>43</v>
      </c>
      <c r="C69" s="82"/>
      <c r="D69" s="9" t="s">
        <v>10</v>
      </c>
      <c r="E69" s="9" t="s">
        <v>44</v>
      </c>
      <c r="F69" s="9" t="s">
        <v>45</v>
      </c>
      <c r="G69" s="9" t="s">
        <v>46</v>
      </c>
      <c r="H69" s="9" t="s">
        <v>47</v>
      </c>
      <c r="I69" s="9" t="s">
        <v>48</v>
      </c>
      <c r="J69" s="9" t="s">
        <v>49</v>
      </c>
      <c r="K69" s="9" t="s">
        <v>50</v>
      </c>
      <c r="L69" s="9" t="s">
        <v>51</v>
      </c>
    </row>
    <row r="70" spans="1:14" ht="12.75" customHeight="1" x14ac:dyDescent="0.2">
      <c r="A70" s="3">
        <v>1</v>
      </c>
      <c r="B70" s="80"/>
      <c r="C70" s="80"/>
      <c r="D70" s="10"/>
      <c r="E70" s="15" t="s">
        <v>52</v>
      </c>
      <c r="F70" s="24" cm="1">
        <f t="array" ref="F70">_xlfn.IFS(E70="above invert",0.5,E70="below invert",1,E70="ponding",1,E70=" ",0)</f>
        <v>0</v>
      </c>
      <c r="G70" s="11"/>
      <c r="H70" s="10"/>
      <c r="I70" s="10"/>
      <c r="J70" s="12">
        <f>H70*I70</f>
        <v>0</v>
      </c>
      <c r="K70" s="13">
        <f>D70*G70*J70*F70</f>
        <v>0</v>
      </c>
      <c r="L70" s="79"/>
    </row>
    <row r="71" spans="1:14" x14ac:dyDescent="0.2">
      <c r="A71" s="3">
        <v>2</v>
      </c>
      <c r="B71" s="80"/>
      <c r="C71" s="80"/>
      <c r="D71" s="10"/>
      <c r="E71" s="15" t="s">
        <v>52</v>
      </c>
      <c r="F71" s="24" cm="1">
        <f t="array" ref="F71">_xlfn.IFS(E71="above invert",0.5,E71="below invert",1,E71="ponding",1,E71=" ",0)</f>
        <v>0</v>
      </c>
      <c r="G71" s="11"/>
      <c r="H71" s="10"/>
      <c r="I71" s="10"/>
      <c r="J71" s="12">
        <f t="shared" ref="J71:J74" si="2">H71*I71</f>
        <v>0</v>
      </c>
      <c r="K71" s="13">
        <f>D71*G71*J71*F71</f>
        <v>0</v>
      </c>
      <c r="L71" s="79"/>
    </row>
    <row r="72" spans="1:14" x14ac:dyDescent="0.2">
      <c r="A72" s="3">
        <v>3</v>
      </c>
      <c r="B72" s="80"/>
      <c r="C72" s="80"/>
      <c r="D72" s="10"/>
      <c r="E72" s="15" t="s">
        <v>52</v>
      </c>
      <c r="F72" s="24" cm="1">
        <f t="array" ref="F72">_xlfn.IFS(E72="above invert",0.5,E72="below invert",1,E72="ponding",1,E72=" ",0)</f>
        <v>0</v>
      </c>
      <c r="G72" s="11"/>
      <c r="H72" s="10"/>
      <c r="I72" s="10"/>
      <c r="J72" s="12">
        <f t="shared" si="2"/>
        <v>0</v>
      </c>
      <c r="K72" s="13">
        <f>D72*G72*J72*F72</f>
        <v>0</v>
      </c>
      <c r="L72" s="79"/>
    </row>
    <row r="73" spans="1:14" x14ac:dyDescent="0.2">
      <c r="A73" s="3">
        <v>4</v>
      </c>
      <c r="B73" s="80"/>
      <c r="C73" s="80"/>
      <c r="D73" s="10"/>
      <c r="E73" s="15" t="s">
        <v>52</v>
      </c>
      <c r="F73" s="24" cm="1">
        <f t="array" ref="F73">_xlfn.IFS(E73="above invert",0.5,E73="below invert",1,E73="ponding",1,E73=" ",0)</f>
        <v>0</v>
      </c>
      <c r="G73" s="11"/>
      <c r="H73" s="10"/>
      <c r="I73" s="10"/>
      <c r="J73" s="12">
        <f t="shared" si="2"/>
        <v>0</v>
      </c>
      <c r="K73" s="13">
        <f>D73*G73*J73*F73</f>
        <v>0</v>
      </c>
      <c r="L73" s="79"/>
    </row>
    <row r="74" spans="1:14" x14ac:dyDescent="0.2">
      <c r="A74" s="3">
        <v>5</v>
      </c>
      <c r="B74" s="80"/>
      <c r="C74" s="80"/>
      <c r="D74" s="10"/>
      <c r="E74" s="15" t="s">
        <v>52</v>
      </c>
      <c r="F74" s="24" cm="1">
        <f t="array" ref="F74">_xlfn.IFS(E74="above invert",0.5,E74="below invert",1,E74="ponding",1,E74=" ",0)</f>
        <v>0</v>
      </c>
      <c r="G74" s="10"/>
      <c r="H74" s="10"/>
      <c r="I74" s="10"/>
      <c r="J74" s="12">
        <f t="shared" si="2"/>
        <v>0</v>
      </c>
      <c r="K74" s="13">
        <f>D74*G74*J74*F74</f>
        <v>0</v>
      </c>
      <c r="L74" s="79"/>
    </row>
    <row r="75" spans="1:14" x14ac:dyDescent="0.2">
      <c r="J75" s="62" t="s">
        <v>53</v>
      </c>
      <c r="K75" s="13">
        <f>SUM(K70:K74)</f>
        <v>0</v>
      </c>
      <c r="L75" s="79"/>
    </row>
    <row r="76" spans="1:14" x14ac:dyDescent="0.2">
      <c r="C76" s="14"/>
      <c r="D76" s="14"/>
      <c r="E76" s="14"/>
      <c r="F76" s="14"/>
      <c r="G76" s="14"/>
      <c r="H76" s="14"/>
      <c r="I76" s="14"/>
      <c r="J76" s="17" t="s">
        <v>54</v>
      </c>
      <c r="K76" s="16">
        <f>K75*7.48</f>
        <v>0</v>
      </c>
      <c r="L76" s="79"/>
    </row>
    <row r="77" spans="1:14" x14ac:dyDescent="0.2">
      <c r="C77" s="14"/>
      <c r="D77" s="14"/>
      <c r="E77" s="14"/>
      <c r="F77" s="14"/>
      <c r="G77" s="14"/>
      <c r="H77" s="14"/>
      <c r="I77" s="14"/>
      <c r="K77" s="17"/>
      <c r="L77" s="17"/>
    </row>
    <row r="78" spans="1:14" x14ac:dyDescent="0.2">
      <c r="A78" s="77" t="s">
        <v>55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9" t="s">
        <v>51</v>
      </c>
    </row>
    <row r="79" spans="1:14" x14ac:dyDescent="0.2">
      <c r="A79" s="76" t="s">
        <v>56</v>
      </c>
      <c r="B79" s="76"/>
      <c r="C79" s="76"/>
      <c r="D79" s="76"/>
      <c r="E79" s="76"/>
      <c r="F79" s="76"/>
      <c r="G79" s="76"/>
      <c r="H79" s="76"/>
      <c r="I79" s="76"/>
      <c r="J79" s="76"/>
      <c r="K79" s="32"/>
      <c r="L79" s="20"/>
    </row>
    <row r="80" spans="1:14" x14ac:dyDescent="0.2">
      <c r="A80" s="81" t="s">
        <v>57</v>
      </c>
      <c r="B80" s="81"/>
      <c r="C80" s="81"/>
      <c r="D80" s="81"/>
      <c r="E80" s="81"/>
      <c r="F80" s="81"/>
      <c r="G80" s="81"/>
      <c r="H80" s="81"/>
      <c r="I80" s="81"/>
      <c r="J80" s="81"/>
      <c r="K80" s="32"/>
      <c r="L80" s="20"/>
    </row>
    <row r="81" spans="1:14" ht="25.5" customHeight="1" x14ac:dyDescent="0.2">
      <c r="A81" s="76" t="s">
        <v>58</v>
      </c>
      <c r="B81" s="76"/>
      <c r="C81" s="76"/>
      <c r="D81" s="76"/>
      <c r="E81" s="76"/>
      <c r="F81" s="76"/>
      <c r="G81" s="76"/>
      <c r="H81" s="76"/>
      <c r="I81" s="76"/>
      <c r="J81" s="76"/>
      <c r="K81" s="33">
        <f>K79-K80</f>
        <v>0</v>
      </c>
      <c r="L81" s="20"/>
    </row>
    <row r="82" spans="1:14" x14ac:dyDescent="0.2">
      <c r="C82" s="14"/>
      <c r="D82" s="14"/>
      <c r="E82" s="14"/>
      <c r="F82" s="14"/>
      <c r="G82" s="14"/>
      <c r="H82" s="14"/>
      <c r="I82" s="14"/>
      <c r="K82" s="17"/>
      <c r="L82" s="17"/>
    </row>
    <row r="83" spans="1:14" x14ac:dyDescent="0.2">
      <c r="A83" s="77" t="s">
        <v>59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9" t="s">
        <v>51</v>
      </c>
    </row>
    <row r="84" spans="1:14" ht="25.5" customHeight="1" x14ac:dyDescent="0.2">
      <c r="A84" s="76" t="s">
        <v>60</v>
      </c>
      <c r="B84" s="76"/>
      <c r="C84" s="76"/>
      <c r="D84" s="76"/>
      <c r="E84" s="76"/>
      <c r="F84" s="76"/>
      <c r="G84" s="76"/>
      <c r="H84" s="76"/>
      <c r="I84" s="76"/>
      <c r="J84" s="76"/>
      <c r="K84" s="32"/>
      <c r="L84" s="20"/>
    </row>
    <row r="85" spans="1:14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2" t="s">
        <v>61</v>
      </c>
      <c r="K85" s="34">
        <f>IF(K84&gt;3.6,3.6,K84)</f>
        <v>0</v>
      </c>
      <c r="L85" s="20"/>
    </row>
    <row r="86" spans="1:14" x14ac:dyDescent="0.2">
      <c r="A86" s="81" t="s">
        <v>62</v>
      </c>
      <c r="B86" s="81"/>
      <c r="C86" s="81"/>
      <c r="D86" s="81"/>
      <c r="E86" s="81"/>
      <c r="F86" s="81"/>
      <c r="G86" s="81"/>
      <c r="H86" s="81"/>
      <c r="I86" s="81"/>
      <c r="J86" s="81" t="s">
        <v>62</v>
      </c>
      <c r="K86" s="32"/>
      <c r="L86" s="20"/>
    </row>
    <row r="87" spans="1:14" x14ac:dyDescent="0.2">
      <c r="A87" s="81" t="s">
        <v>63</v>
      </c>
      <c r="B87" s="81"/>
      <c r="C87" s="81"/>
      <c r="D87" s="81"/>
      <c r="E87" s="81"/>
      <c r="F87" s="81"/>
      <c r="G87" s="81"/>
      <c r="H87" s="81"/>
      <c r="I87" s="81"/>
      <c r="J87" s="81"/>
      <c r="K87" s="34">
        <f>K85*K86*6/12</f>
        <v>0</v>
      </c>
      <c r="L87" s="20"/>
    </row>
    <row r="88" spans="1:14" ht="13.5" customHeight="1" x14ac:dyDescent="0.2">
      <c r="A88" s="63"/>
      <c r="B88" s="62"/>
      <c r="C88" s="62"/>
      <c r="D88" s="62"/>
      <c r="E88" s="62"/>
      <c r="F88" s="62"/>
      <c r="G88" s="62"/>
      <c r="H88" s="62"/>
      <c r="I88" s="62"/>
      <c r="J88" s="17" t="s">
        <v>64</v>
      </c>
      <c r="K88" s="35">
        <f>K87*7.48</f>
        <v>0</v>
      </c>
      <c r="L88" s="20"/>
    </row>
    <row r="90" spans="1:14" ht="15.75" x14ac:dyDescent="0.25">
      <c r="A90" s="31" t="s">
        <v>67</v>
      </c>
      <c r="C90" s="2"/>
      <c r="N90" s="14" t="s">
        <v>40</v>
      </c>
    </row>
    <row r="91" spans="1:14" x14ac:dyDescent="0.2">
      <c r="A91" s="77" t="s">
        <v>41</v>
      </c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</row>
    <row r="92" spans="1:14" s="4" customFormat="1" ht="25.5" x14ac:dyDescent="0.2">
      <c r="A92" s="18" t="s">
        <v>42</v>
      </c>
      <c r="B92" s="82" t="s">
        <v>43</v>
      </c>
      <c r="C92" s="82"/>
      <c r="D92" s="9" t="s">
        <v>10</v>
      </c>
      <c r="E92" s="9" t="s">
        <v>44</v>
      </c>
      <c r="F92" s="9" t="s">
        <v>45</v>
      </c>
      <c r="G92" s="9" t="s">
        <v>46</v>
      </c>
      <c r="H92" s="9" t="s">
        <v>47</v>
      </c>
      <c r="I92" s="9" t="s">
        <v>48</v>
      </c>
      <c r="J92" s="9" t="s">
        <v>49</v>
      </c>
      <c r="K92" s="9" t="s">
        <v>50</v>
      </c>
      <c r="L92" s="9" t="s">
        <v>51</v>
      </c>
    </row>
    <row r="93" spans="1:14" ht="12.75" customHeight="1" x14ac:dyDescent="0.2">
      <c r="A93" s="3">
        <v>1</v>
      </c>
      <c r="B93" s="80"/>
      <c r="C93" s="80"/>
      <c r="D93" s="10"/>
      <c r="E93" s="15" t="s">
        <v>52</v>
      </c>
      <c r="F93" s="24" cm="1">
        <f t="array" ref="F93">_xlfn.IFS(E93="above invert",0.5,E93="below invert",1,E93="ponding",1,E93=" ",0)</f>
        <v>0</v>
      </c>
      <c r="G93" s="11"/>
      <c r="H93" s="10"/>
      <c r="I93" s="10"/>
      <c r="J93" s="12">
        <f>H93*I93</f>
        <v>0</v>
      </c>
      <c r="K93" s="13">
        <f>D93*G93*J93*F93</f>
        <v>0</v>
      </c>
      <c r="L93" s="79"/>
    </row>
    <row r="94" spans="1:14" x14ac:dyDescent="0.2">
      <c r="A94" s="3">
        <v>2</v>
      </c>
      <c r="B94" s="80"/>
      <c r="C94" s="80"/>
      <c r="D94" s="10"/>
      <c r="E94" s="15" t="s">
        <v>52</v>
      </c>
      <c r="F94" s="24" cm="1">
        <f t="array" ref="F94">_xlfn.IFS(E94="above invert",0.5,E94="below invert",1,E94="ponding",1,E94=" ",0)</f>
        <v>0</v>
      </c>
      <c r="G94" s="11"/>
      <c r="H94" s="10"/>
      <c r="I94" s="10"/>
      <c r="J94" s="12">
        <f t="shared" ref="J94:J97" si="3">H94*I94</f>
        <v>0</v>
      </c>
      <c r="K94" s="13">
        <f>D94*G94*J94*F94</f>
        <v>0</v>
      </c>
      <c r="L94" s="79"/>
    </row>
    <row r="95" spans="1:14" x14ac:dyDescent="0.2">
      <c r="A95" s="3">
        <v>3</v>
      </c>
      <c r="B95" s="80"/>
      <c r="C95" s="80"/>
      <c r="D95" s="10"/>
      <c r="E95" s="15" t="s">
        <v>52</v>
      </c>
      <c r="F95" s="24" cm="1">
        <f t="array" ref="F95">_xlfn.IFS(E95="above invert",0.5,E95="below invert",1,E95="ponding",1,E95=" ",0)</f>
        <v>0</v>
      </c>
      <c r="G95" s="11"/>
      <c r="H95" s="10"/>
      <c r="I95" s="10"/>
      <c r="J95" s="12">
        <f t="shared" si="3"/>
        <v>0</v>
      </c>
      <c r="K95" s="13">
        <f>D95*G95*J95*F95</f>
        <v>0</v>
      </c>
      <c r="L95" s="79"/>
    </row>
    <row r="96" spans="1:14" x14ac:dyDescent="0.2">
      <c r="A96" s="3">
        <v>4</v>
      </c>
      <c r="B96" s="80"/>
      <c r="C96" s="80"/>
      <c r="D96" s="10"/>
      <c r="E96" s="15" t="s">
        <v>52</v>
      </c>
      <c r="F96" s="24" cm="1">
        <f t="array" ref="F96">_xlfn.IFS(E96="above invert",0.5,E96="below invert",1,E96="ponding",1,E96=" ",0)</f>
        <v>0</v>
      </c>
      <c r="G96" s="11"/>
      <c r="H96" s="10"/>
      <c r="I96" s="10"/>
      <c r="J96" s="12">
        <f t="shared" si="3"/>
        <v>0</v>
      </c>
      <c r="K96" s="13">
        <f>D96*G96*J96*F96</f>
        <v>0</v>
      </c>
      <c r="L96" s="79"/>
    </row>
    <row r="97" spans="1:12" x14ac:dyDescent="0.2">
      <c r="A97" s="3">
        <v>5</v>
      </c>
      <c r="B97" s="80"/>
      <c r="C97" s="80"/>
      <c r="D97" s="10"/>
      <c r="E97" s="15" t="s">
        <v>52</v>
      </c>
      <c r="F97" s="24" cm="1">
        <f t="array" ref="F97">_xlfn.IFS(E97="above invert",0.5,E97="below invert",1,E97="ponding",1,E97=" ",0)</f>
        <v>0</v>
      </c>
      <c r="G97" s="10"/>
      <c r="H97" s="10"/>
      <c r="I97" s="10"/>
      <c r="J97" s="12">
        <f t="shared" si="3"/>
        <v>0</v>
      </c>
      <c r="K97" s="13">
        <f>D97*G97*J97*F97</f>
        <v>0</v>
      </c>
      <c r="L97" s="79"/>
    </row>
    <row r="98" spans="1:12" x14ac:dyDescent="0.2">
      <c r="J98" s="62" t="s">
        <v>53</v>
      </c>
      <c r="K98" s="13">
        <f>SUM(K93:K97)</f>
        <v>0</v>
      </c>
      <c r="L98" s="79"/>
    </row>
    <row r="99" spans="1:12" x14ac:dyDescent="0.2">
      <c r="C99" s="14"/>
      <c r="D99" s="14"/>
      <c r="E99" s="14"/>
      <c r="F99" s="14"/>
      <c r="G99" s="14"/>
      <c r="H99" s="14"/>
      <c r="I99" s="14"/>
      <c r="J99" s="17" t="s">
        <v>54</v>
      </c>
      <c r="K99" s="16">
        <f>K98*7.48</f>
        <v>0</v>
      </c>
      <c r="L99" s="79"/>
    </row>
    <row r="100" spans="1:12" x14ac:dyDescent="0.2">
      <c r="C100" s="14"/>
      <c r="D100" s="14"/>
      <c r="E100" s="14"/>
      <c r="F100" s="14"/>
      <c r="G100" s="14"/>
      <c r="H100" s="14"/>
      <c r="I100" s="14"/>
      <c r="K100" s="17"/>
      <c r="L100" s="17"/>
    </row>
    <row r="101" spans="1:12" x14ac:dyDescent="0.2">
      <c r="A101" s="77" t="s">
        <v>55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9" t="s">
        <v>51</v>
      </c>
    </row>
    <row r="102" spans="1:12" x14ac:dyDescent="0.2">
      <c r="A102" s="76" t="s">
        <v>56</v>
      </c>
      <c r="B102" s="76"/>
      <c r="C102" s="76"/>
      <c r="D102" s="76"/>
      <c r="E102" s="76"/>
      <c r="F102" s="76"/>
      <c r="G102" s="76"/>
      <c r="H102" s="76"/>
      <c r="I102" s="76"/>
      <c r="J102" s="76"/>
      <c r="K102" s="32"/>
      <c r="L102" s="20"/>
    </row>
    <row r="103" spans="1:12" x14ac:dyDescent="0.2">
      <c r="A103" s="81" t="s">
        <v>57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32"/>
      <c r="L103" s="20"/>
    </row>
    <row r="104" spans="1:12" ht="25.5" customHeight="1" x14ac:dyDescent="0.2">
      <c r="A104" s="76" t="s">
        <v>58</v>
      </c>
      <c r="B104" s="76"/>
      <c r="C104" s="76"/>
      <c r="D104" s="76"/>
      <c r="E104" s="76"/>
      <c r="F104" s="76"/>
      <c r="G104" s="76"/>
      <c r="H104" s="76"/>
      <c r="I104" s="76"/>
      <c r="J104" s="76"/>
      <c r="K104" s="33">
        <f>K102-K103</f>
        <v>0</v>
      </c>
      <c r="L104" s="20"/>
    </row>
    <row r="105" spans="1:12" x14ac:dyDescent="0.2">
      <c r="C105" s="14"/>
      <c r="D105" s="14"/>
      <c r="E105" s="14"/>
      <c r="F105" s="14"/>
      <c r="G105" s="14"/>
      <c r="H105" s="14"/>
      <c r="I105" s="14"/>
      <c r="K105" s="17"/>
      <c r="L105" s="17"/>
    </row>
    <row r="106" spans="1:12" x14ac:dyDescent="0.2">
      <c r="A106" s="77" t="s">
        <v>59</v>
      </c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9" t="s">
        <v>51</v>
      </c>
    </row>
    <row r="107" spans="1:12" ht="25.5" customHeight="1" x14ac:dyDescent="0.2">
      <c r="A107" s="76" t="s">
        <v>60</v>
      </c>
      <c r="B107" s="76"/>
      <c r="C107" s="76"/>
      <c r="D107" s="76"/>
      <c r="E107" s="76"/>
      <c r="F107" s="76"/>
      <c r="G107" s="76"/>
      <c r="H107" s="76"/>
      <c r="I107" s="76"/>
      <c r="J107" s="76"/>
      <c r="K107" s="32"/>
      <c r="L107" s="20"/>
    </row>
    <row r="108" spans="1:12" x14ac:dyDescent="0.2">
      <c r="A108" s="63"/>
      <c r="B108" s="63"/>
      <c r="C108" s="63"/>
      <c r="D108" s="63"/>
      <c r="E108" s="63"/>
      <c r="F108" s="63"/>
      <c r="G108" s="63"/>
      <c r="H108" s="63"/>
      <c r="I108" s="63"/>
      <c r="J108" s="62" t="s">
        <v>61</v>
      </c>
      <c r="K108" s="34">
        <f>IF(K107&gt;3.6,3.6,K107)</f>
        <v>0</v>
      </c>
      <c r="L108" s="20"/>
    </row>
    <row r="109" spans="1:12" x14ac:dyDescent="0.2">
      <c r="A109" s="81" t="s">
        <v>62</v>
      </c>
      <c r="B109" s="81"/>
      <c r="C109" s="81"/>
      <c r="D109" s="81"/>
      <c r="E109" s="81"/>
      <c r="F109" s="81"/>
      <c r="G109" s="81"/>
      <c r="H109" s="81"/>
      <c r="I109" s="81"/>
      <c r="J109" s="81" t="s">
        <v>62</v>
      </c>
      <c r="K109" s="32"/>
      <c r="L109" s="20"/>
    </row>
    <row r="110" spans="1:12" x14ac:dyDescent="0.2">
      <c r="A110" s="81" t="s">
        <v>63</v>
      </c>
      <c r="B110" s="81"/>
      <c r="C110" s="81"/>
      <c r="D110" s="81"/>
      <c r="E110" s="81"/>
      <c r="F110" s="81"/>
      <c r="G110" s="81"/>
      <c r="H110" s="81"/>
      <c r="I110" s="81"/>
      <c r="J110" s="81"/>
      <c r="K110" s="34">
        <f>K108*K109*6/12</f>
        <v>0</v>
      </c>
      <c r="L110" s="20"/>
    </row>
    <row r="111" spans="1:12" ht="13.5" customHeight="1" x14ac:dyDescent="0.2">
      <c r="A111" s="63"/>
      <c r="B111" s="62"/>
      <c r="C111" s="62"/>
      <c r="D111" s="62"/>
      <c r="E111" s="62"/>
      <c r="F111" s="62"/>
      <c r="G111" s="62"/>
      <c r="H111" s="62"/>
      <c r="I111" s="62"/>
      <c r="J111" s="17" t="s">
        <v>64</v>
      </c>
      <c r="K111" s="35">
        <f>K110*7.48</f>
        <v>0</v>
      </c>
      <c r="L111" s="20"/>
    </row>
    <row r="112" spans="1:12" ht="13.5" customHeight="1" x14ac:dyDescent="0.2">
      <c r="A112" s="63"/>
      <c r="B112" s="62"/>
      <c r="C112" s="62"/>
      <c r="D112" s="62"/>
      <c r="E112" s="62"/>
      <c r="F112" s="62"/>
      <c r="G112" s="62"/>
      <c r="H112" s="62"/>
      <c r="I112" s="62"/>
    </row>
    <row r="113" spans="1:14" ht="15.75" x14ac:dyDescent="0.25">
      <c r="A113" s="31" t="s">
        <v>68</v>
      </c>
      <c r="C113" s="2"/>
      <c r="N113" s="14" t="s">
        <v>40</v>
      </c>
    </row>
    <row r="114" spans="1:14" x14ac:dyDescent="0.2">
      <c r="A114" s="77" t="s">
        <v>41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</row>
    <row r="115" spans="1:14" s="4" customFormat="1" ht="25.5" x14ac:dyDescent="0.2">
      <c r="A115" s="18" t="s">
        <v>42</v>
      </c>
      <c r="B115" s="82" t="s">
        <v>43</v>
      </c>
      <c r="C115" s="82"/>
      <c r="D115" s="9" t="s">
        <v>10</v>
      </c>
      <c r="E115" s="9" t="s">
        <v>44</v>
      </c>
      <c r="F115" s="9" t="s">
        <v>45</v>
      </c>
      <c r="G115" s="9" t="s">
        <v>46</v>
      </c>
      <c r="H115" s="9" t="s">
        <v>47</v>
      </c>
      <c r="I115" s="9" t="s">
        <v>48</v>
      </c>
      <c r="J115" s="9" t="s">
        <v>49</v>
      </c>
      <c r="K115" s="9" t="s">
        <v>50</v>
      </c>
      <c r="L115" s="9" t="s">
        <v>51</v>
      </c>
    </row>
    <row r="116" spans="1:14" ht="12.75" customHeight="1" x14ac:dyDescent="0.2">
      <c r="A116" s="3">
        <v>1</v>
      </c>
      <c r="B116" s="80"/>
      <c r="C116" s="80"/>
      <c r="D116" s="10"/>
      <c r="E116" s="15" t="s">
        <v>52</v>
      </c>
      <c r="F116" s="24" cm="1">
        <f t="array" ref="F116">_xlfn.IFS(E116="above invert",0.5,E116="below invert",1,E116="ponding",1,E116=" ",0)</f>
        <v>0</v>
      </c>
      <c r="G116" s="11"/>
      <c r="H116" s="10"/>
      <c r="I116" s="10"/>
      <c r="J116" s="12">
        <f>H116*I116</f>
        <v>0</v>
      </c>
      <c r="K116" s="13">
        <f>D116*G116*J116*F116</f>
        <v>0</v>
      </c>
      <c r="L116" s="79"/>
    </row>
    <row r="117" spans="1:14" x14ac:dyDescent="0.2">
      <c r="A117" s="3">
        <v>2</v>
      </c>
      <c r="B117" s="80"/>
      <c r="C117" s="80"/>
      <c r="D117" s="10"/>
      <c r="E117" s="15" t="s">
        <v>52</v>
      </c>
      <c r="F117" s="24" cm="1">
        <f t="array" ref="F117">_xlfn.IFS(E117="above invert",0.5,E117="below invert",1,E117="ponding",1,E117=" ",0)</f>
        <v>0</v>
      </c>
      <c r="G117" s="11"/>
      <c r="H117" s="10"/>
      <c r="I117" s="10"/>
      <c r="J117" s="12">
        <f t="shared" ref="J117:J120" si="4">H117*I117</f>
        <v>0</v>
      </c>
      <c r="K117" s="13">
        <f>D117*G117*J117*F117</f>
        <v>0</v>
      </c>
      <c r="L117" s="79"/>
    </row>
    <row r="118" spans="1:14" x14ac:dyDescent="0.2">
      <c r="A118" s="3">
        <v>3</v>
      </c>
      <c r="B118" s="80"/>
      <c r="C118" s="80"/>
      <c r="D118" s="10"/>
      <c r="E118" s="15" t="s">
        <v>52</v>
      </c>
      <c r="F118" s="24" cm="1">
        <f t="array" ref="F118">_xlfn.IFS(E118="above invert",0.5,E118="below invert",1,E118="ponding",1,E118=" ",0)</f>
        <v>0</v>
      </c>
      <c r="G118" s="11"/>
      <c r="H118" s="10"/>
      <c r="I118" s="10"/>
      <c r="J118" s="12">
        <f t="shared" si="4"/>
        <v>0</v>
      </c>
      <c r="K118" s="13">
        <f>D118*G118*J118*F118</f>
        <v>0</v>
      </c>
      <c r="L118" s="79"/>
    </row>
    <row r="119" spans="1:14" x14ac:dyDescent="0.2">
      <c r="A119" s="3">
        <v>4</v>
      </c>
      <c r="B119" s="80"/>
      <c r="C119" s="80"/>
      <c r="D119" s="10"/>
      <c r="E119" s="15" t="s">
        <v>52</v>
      </c>
      <c r="F119" s="24" cm="1">
        <f t="array" ref="F119">_xlfn.IFS(E119="above invert",0.5,E119="below invert",1,E119="ponding",1,E119=" ",0)</f>
        <v>0</v>
      </c>
      <c r="G119" s="11"/>
      <c r="H119" s="10"/>
      <c r="I119" s="10"/>
      <c r="J119" s="12">
        <f t="shared" si="4"/>
        <v>0</v>
      </c>
      <c r="K119" s="13">
        <f>D119*G119*J119*F119</f>
        <v>0</v>
      </c>
      <c r="L119" s="79"/>
    </row>
    <row r="120" spans="1:14" x14ac:dyDescent="0.2">
      <c r="A120" s="3">
        <v>5</v>
      </c>
      <c r="B120" s="80"/>
      <c r="C120" s="80"/>
      <c r="D120" s="10"/>
      <c r="E120" s="15" t="s">
        <v>52</v>
      </c>
      <c r="F120" s="24" cm="1">
        <f t="array" ref="F120">_xlfn.IFS(E120="above invert",0.5,E120="below invert",1,E120="ponding",1,E120=" ",0)</f>
        <v>0</v>
      </c>
      <c r="G120" s="10"/>
      <c r="H120" s="10"/>
      <c r="I120" s="10"/>
      <c r="J120" s="12">
        <f t="shared" si="4"/>
        <v>0</v>
      </c>
      <c r="K120" s="13">
        <f>D120*G120*J120*F120</f>
        <v>0</v>
      </c>
      <c r="L120" s="79"/>
    </row>
    <row r="121" spans="1:14" x14ac:dyDescent="0.2">
      <c r="J121" s="62" t="s">
        <v>53</v>
      </c>
      <c r="K121" s="13">
        <f>SUM(K116:K120)</f>
        <v>0</v>
      </c>
      <c r="L121" s="79"/>
    </row>
    <row r="122" spans="1:14" x14ac:dyDescent="0.2">
      <c r="C122" s="14"/>
      <c r="D122" s="14"/>
      <c r="E122" s="14"/>
      <c r="F122" s="14"/>
      <c r="G122" s="14"/>
      <c r="H122" s="14"/>
      <c r="I122" s="14"/>
      <c r="J122" s="17" t="s">
        <v>54</v>
      </c>
      <c r="K122" s="16">
        <f>K121*7.48</f>
        <v>0</v>
      </c>
      <c r="L122" s="79"/>
    </row>
    <row r="123" spans="1:14" x14ac:dyDescent="0.2">
      <c r="C123" s="14"/>
      <c r="D123" s="14"/>
      <c r="E123" s="14"/>
      <c r="F123" s="14"/>
      <c r="G123" s="14"/>
      <c r="H123" s="14"/>
      <c r="I123" s="14"/>
      <c r="K123" s="17"/>
      <c r="L123" s="17"/>
    </row>
    <row r="124" spans="1:14" x14ac:dyDescent="0.2">
      <c r="A124" s="77" t="s">
        <v>55</v>
      </c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9" t="s">
        <v>51</v>
      </c>
    </row>
    <row r="125" spans="1:14" x14ac:dyDescent="0.2">
      <c r="A125" s="76" t="s">
        <v>56</v>
      </c>
      <c r="B125" s="76"/>
      <c r="C125" s="76"/>
      <c r="D125" s="76"/>
      <c r="E125" s="76"/>
      <c r="F125" s="76"/>
      <c r="G125" s="76"/>
      <c r="H125" s="76"/>
      <c r="I125" s="76"/>
      <c r="J125" s="76"/>
      <c r="K125" s="32"/>
      <c r="L125" s="20"/>
    </row>
    <row r="126" spans="1:14" x14ac:dyDescent="0.2">
      <c r="A126" s="81" t="s">
        <v>57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32"/>
      <c r="L126" s="20"/>
    </row>
    <row r="127" spans="1:14" ht="25.5" customHeight="1" x14ac:dyDescent="0.2">
      <c r="A127" s="76" t="s">
        <v>58</v>
      </c>
      <c r="B127" s="76"/>
      <c r="C127" s="76"/>
      <c r="D127" s="76"/>
      <c r="E127" s="76"/>
      <c r="F127" s="76"/>
      <c r="G127" s="76"/>
      <c r="H127" s="76"/>
      <c r="I127" s="76"/>
      <c r="J127" s="76"/>
      <c r="K127" s="33">
        <f>K125-K126</f>
        <v>0</v>
      </c>
      <c r="L127" s="20"/>
    </row>
    <row r="128" spans="1:14" x14ac:dyDescent="0.2">
      <c r="C128" s="14"/>
      <c r="D128" s="14"/>
      <c r="E128" s="14"/>
      <c r="F128" s="14"/>
      <c r="G128" s="14"/>
      <c r="H128" s="14"/>
      <c r="I128" s="14"/>
      <c r="K128" s="17"/>
      <c r="L128" s="17"/>
    </row>
    <row r="129" spans="1:12" x14ac:dyDescent="0.2">
      <c r="A129" s="77" t="s">
        <v>59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9" t="s">
        <v>51</v>
      </c>
    </row>
    <row r="130" spans="1:12" ht="25.5" customHeight="1" x14ac:dyDescent="0.2">
      <c r="A130" s="76" t="s">
        <v>60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32"/>
      <c r="L130" s="20"/>
    </row>
    <row r="131" spans="1:12" x14ac:dyDescent="0.2">
      <c r="A131" s="63"/>
      <c r="B131" s="63"/>
      <c r="C131" s="63"/>
      <c r="D131" s="63"/>
      <c r="E131" s="63"/>
      <c r="F131" s="63"/>
      <c r="G131" s="63"/>
      <c r="H131" s="63"/>
      <c r="I131" s="63"/>
      <c r="J131" s="62" t="s">
        <v>61</v>
      </c>
      <c r="K131" s="34">
        <f>IF(K130&gt;3.6,3.6,K130)</f>
        <v>0</v>
      </c>
      <c r="L131" s="20"/>
    </row>
    <row r="132" spans="1:12" x14ac:dyDescent="0.2">
      <c r="A132" s="81" t="s">
        <v>62</v>
      </c>
      <c r="B132" s="81"/>
      <c r="C132" s="81"/>
      <c r="D132" s="81"/>
      <c r="E132" s="81"/>
      <c r="F132" s="81"/>
      <c r="G132" s="81"/>
      <c r="H132" s="81"/>
      <c r="I132" s="81"/>
      <c r="J132" s="81" t="s">
        <v>62</v>
      </c>
      <c r="K132" s="32"/>
      <c r="L132" s="20"/>
    </row>
    <row r="133" spans="1:12" x14ac:dyDescent="0.2">
      <c r="A133" s="81" t="s">
        <v>63</v>
      </c>
      <c r="B133" s="81"/>
      <c r="C133" s="81"/>
      <c r="D133" s="81"/>
      <c r="E133" s="81"/>
      <c r="F133" s="81"/>
      <c r="G133" s="81"/>
      <c r="H133" s="81"/>
      <c r="I133" s="81"/>
      <c r="J133" s="81"/>
      <c r="K133" s="34">
        <f>K131*K132*6/12</f>
        <v>0</v>
      </c>
      <c r="L133" s="20"/>
    </row>
    <row r="134" spans="1:12" ht="13.5" customHeight="1" x14ac:dyDescent="0.2">
      <c r="A134" s="63"/>
      <c r="B134" s="62"/>
      <c r="C134" s="62"/>
      <c r="D134" s="62"/>
      <c r="E134" s="62"/>
      <c r="F134" s="62"/>
      <c r="G134" s="62"/>
      <c r="H134" s="62"/>
      <c r="I134" s="62"/>
      <c r="J134" s="17" t="s">
        <v>64</v>
      </c>
      <c r="K134" s="35">
        <f>K133*7.48</f>
        <v>0</v>
      </c>
      <c r="L134" s="20"/>
    </row>
  </sheetData>
  <mergeCells count="104">
    <mergeCell ref="A114:L114"/>
    <mergeCell ref="B115:C115"/>
    <mergeCell ref="A110:J110"/>
    <mergeCell ref="L116:L122"/>
    <mergeCell ref="B117:C117"/>
    <mergeCell ref="B118:C118"/>
    <mergeCell ref="B119:C119"/>
    <mergeCell ref="B120:C120"/>
    <mergeCell ref="B116:C116"/>
    <mergeCell ref="A132:J132"/>
    <mergeCell ref="A124:K124"/>
    <mergeCell ref="A125:J125"/>
    <mergeCell ref="A126:J126"/>
    <mergeCell ref="A127:J127"/>
    <mergeCell ref="A129:K129"/>
    <mergeCell ref="A130:J130"/>
    <mergeCell ref="A107:J107"/>
    <mergeCell ref="A86:J86"/>
    <mergeCell ref="A87:J87"/>
    <mergeCell ref="A91:L91"/>
    <mergeCell ref="B92:C92"/>
    <mergeCell ref="B93:C93"/>
    <mergeCell ref="L93:L99"/>
    <mergeCell ref="B94:C94"/>
    <mergeCell ref="B95:C95"/>
    <mergeCell ref="B96:C96"/>
    <mergeCell ref="B97:C97"/>
    <mergeCell ref="A101:K101"/>
    <mergeCell ref="A102:J102"/>
    <mergeCell ref="A103:J103"/>
    <mergeCell ref="A104:J104"/>
    <mergeCell ref="A106:K106"/>
    <mergeCell ref="A109:J109"/>
    <mergeCell ref="A55:K55"/>
    <mergeCell ref="A56:J56"/>
    <mergeCell ref="A57:J57"/>
    <mergeCell ref="A58:J58"/>
    <mergeCell ref="A60:K60"/>
    <mergeCell ref="A84:J84"/>
    <mergeCell ref="A63:J63"/>
    <mergeCell ref="A64:J64"/>
    <mergeCell ref="A68:L68"/>
    <mergeCell ref="B69:C69"/>
    <mergeCell ref="B70:C70"/>
    <mergeCell ref="L70:L76"/>
    <mergeCell ref="B71:C71"/>
    <mergeCell ref="B72:C72"/>
    <mergeCell ref="B73:C73"/>
    <mergeCell ref="B74:C74"/>
    <mergeCell ref="A78:K78"/>
    <mergeCell ref="A79:J79"/>
    <mergeCell ref="A80:J80"/>
    <mergeCell ref="A81:J81"/>
    <mergeCell ref="A83:K83"/>
    <mergeCell ref="A41:J41"/>
    <mergeCell ref="A45:L45"/>
    <mergeCell ref="B46:C46"/>
    <mergeCell ref="B47:C47"/>
    <mergeCell ref="L47:L53"/>
    <mergeCell ref="B48:C48"/>
    <mergeCell ref="B49:C49"/>
    <mergeCell ref="B50:C50"/>
    <mergeCell ref="B51:C51"/>
    <mergeCell ref="A133:J133"/>
    <mergeCell ref="A5:B5"/>
    <mergeCell ref="C5:F5"/>
    <mergeCell ref="A7:B7"/>
    <mergeCell ref="A8:B8"/>
    <mergeCell ref="A9:B9"/>
    <mergeCell ref="A10:B10"/>
    <mergeCell ref="A13:B13"/>
    <mergeCell ref="A38:J38"/>
    <mergeCell ref="A22:L22"/>
    <mergeCell ref="B23:C23"/>
    <mergeCell ref="B24:C24"/>
    <mergeCell ref="L24:L30"/>
    <mergeCell ref="B25:C25"/>
    <mergeCell ref="B26:C26"/>
    <mergeCell ref="B27:C27"/>
    <mergeCell ref="B28:C28"/>
    <mergeCell ref="A32:K32"/>
    <mergeCell ref="A33:J33"/>
    <mergeCell ref="A34:J34"/>
    <mergeCell ref="A35:J35"/>
    <mergeCell ref="A37:K37"/>
    <mergeCell ref="A61:J61"/>
    <mergeCell ref="A40:J40"/>
    <mergeCell ref="C17:D17"/>
    <mergeCell ref="A17:B17"/>
    <mergeCell ref="A14:B14"/>
    <mergeCell ref="C14:D14"/>
    <mergeCell ref="K2:L19"/>
    <mergeCell ref="A18:B18"/>
    <mergeCell ref="C18:E18"/>
    <mergeCell ref="F18:G18"/>
    <mergeCell ref="H18:I18"/>
    <mergeCell ref="A11:B11"/>
    <mergeCell ref="E9:I10"/>
    <mergeCell ref="A12:B12"/>
    <mergeCell ref="A15:B15"/>
    <mergeCell ref="C15:D15"/>
    <mergeCell ref="A16:B16"/>
    <mergeCell ref="E16:F16"/>
    <mergeCell ref="G16:H16"/>
  </mergeCells>
  <dataValidations count="3">
    <dataValidation type="list" allowBlank="1" showInputMessage="1" showErrorMessage="1" sqref="E93:E97 E24:E28 E47:E51 E70:E74 E116:E120" xr:uid="{E4F6FDB5-DB0E-4DED-A31D-52EF12129572}">
      <formula1>"' ,above invert,below invert,ponding"</formula1>
    </dataValidation>
    <dataValidation type="list" allowBlank="1" showInputMessage="1" showErrorMessage="1" sqref="C7" xr:uid="{57AAA5E3-471C-41B6-B9DB-EAA1FA353E80}">
      <formula1>"'   ,30%,60%,98%,100%"</formula1>
    </dataValidation>
    <dataValidation allowBlank="1" showInputMessage="1" showErrorMessage="1" sqref="F116:F120 J1 F24:F28 F47:F51 F70:F74 F93:F97 E9" xr:uid="{3E75B695-DA3F-4C7D-A02E-59AC43EEC9C6}"/>
  </dataValidations>
  <pageMargins left="0.25" right="0.25" top="0.5" bottom="0.5" header="0.3" footer="0.3"/>
  <pageSetup scale="78" fitToHeight="0" orientation="landscape" verticalDpi="1200" r:id="rId1"/>
  <headerFooter>
    <oddFooter>&amp;LDate Printed: &amp;D&amp;CDesign DRC Page &amp;P of &amp;N</oddFooter>
  </headerFooter>
  <rowBreaks count="1" manualBreakCount="1">
    <brk id="43" max="11" man="1"/>
  </row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intedforMailingby xmlns="ae5dff87-4e6a-41c4-93f2-d5508871ee9a" xsi:nil="true"/>
    <imagetest xmlns="ae5dff87-4e6a-41c4-93f2-d5508871ee9a" xsi:nil="true"/>
    <lcf76f155ced4ddcb4097134ff3c332f xmlns="ae5dff87-4e6a-41c4-93f2-d5508871ee9a">
      <Terms xmlns="http://schemas.microsoft.com/office/infopath/2007/PartnerControls"/>
    </lcf76f155ced4ddcb4097134ff3c332f>
    <TaxCatchAll xmlns="bc0e871a-eec0-419d-8b9b-9df52ac2a702" xsi:nil="true"/>
    <Reorganization xmlns="ae5dff87-4e6a-41c4-93f2-d5508871ee9a" xsi:nil="true"/>
    <ReorgStatus xmlns="ae5dff87-4e6a-41c4-93f2-d5508871ee9a" xsi:nil="true"/>
    <_ip_UnifiedCompliancePolicyUIAction xmlns="http://schemas.microsoft.com/sharepoint/v3" xsi:nil="true"/>
    <_ip_UnifiedCompliancePolicyProperties xmlns="http://schemas.microsoft.com/sharepoint/v3" xsi:nil="true"/>
    <SortOrder xmlns="ae5dff87-4e6a-41c4-93f2-d5508871ee9a">99</SortOrd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1F9AE39F30E64D88DD370991155A0F" ma:contentTypeVersion="26" ma:contentTypeDescription="Create a new document." ma:contentTypeScope="" ma:versionID="9080ec912a271934647690fe272a65d3">
  <xsd:schema xmlns:xsd="http://www.w3.org/2001/XMLSchema" xmlns:xs="http://www.w3.org/2001/XMLSchema" xmlns:p="http://schemas.microsoft.com/office/2006/metadata/properties" xmlns:ns1="http://schemas.microsoft.com/sharepoint/v3" xmlns:ns2="bc0e871a-eec0-419d-8b9b-9df52ac2a702" xmlns:ns3="ae5dff87-4e6a-41c4-93f2-d5508871ee9a" targetNamespace="http://schemas.microsoft.com/office/2006/metadata/properties" ma:root="true" ma:fieldsID="73b02579019b1a484787a07f2e1bb846" ns1:_="" ns2:_="" ns3:_="">
    <xsd:import namespace="http://schemas.microsoft.com/sharepoint/v3"/>
    <xsd:import namespace="bc0e871a-eec0-419d-8b9b-9df52ac2a702"/>
    <xsd:import namespace="ae5dff87-4e6a-41c4-93f2-d5508871ee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PrintedforMailingby" minOccurs="0"/>
                <xsd:element ref="ns3:MediaLengthInSeconds" minOccurs="0"/>
                <xsd:element ref="ns3:imagetest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Reorganization" minOccurs="0"/>
                <xsd:element ref="ns3:ReorgStatus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  <xsd:element ref="ns3:Sor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0e871a-eec0-419d-8b9b-9df52ac2a7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ad6fae1-fd33-4a54-875c-fd939e1ab8c4}" ma:internalName="TaxCatchAll" ma:showField="CatchAllData" ma:web="bc0e871a-eec0-419d-8b9b-9df52ac2a7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5dff87-4e6a-41c4-93f2-d5508871ee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PrintedforMailingby" ma:index="18" nillable="true" ma:displayName="Printed for Mailing by" ma:description="Date Printed for Mailing" ma:format="Dropdown" ma:internalName="PrintedforMailingby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imagetest" ma:index="20" nillable="true" ma:displayName="image test" ma:format="Thumbnail" ma:internalName="imagetest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742c165-a72d-4470-b887-7d794a15cd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Reorganization" ma:index="25" nillable="true" ma:displayName="Reorg type" ma:description="temporary to mark files for reorganization" ma:format="Dropdown" ma:internalName="Reorganization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oject Folder"/>
                    <xsd:enumeration value="Applications"/>
                    <xsd:enumeration value="Archival"/>
                    <xsd:enumeration value="Sub level file"/>
                    <xsd:enumeration value="Parent level file"/>
                    <xsd:enumeration value="CFP"/>
                    <xsd:enumeration value="Expired files"/>
                  </xsd:restriction>
                </xsd:simpleType>
              </xsd:element>
            </xsd:sequence>
          </xsd:extension>
        </xsd:complexContent>
      </xsd:complexType>
    </xsd:element>
    <xsd:element name="ReorgStatus" ma:index="26" nillable="true" ma:displayName="Reorg Status" ma:description="temporary to reorganize files" ma:format="Dropdown" ma:internalName="ReorgStatus">
      <xsd:simpleType>
        <xsd:restriction base="dms:Choice">
          <xsd:enumeration value="Copied"/>
          <xsd:enumeration value="To be Moved"/>
          <xsd:enumeration value="Marked for Moving"/>
          <xsd:enumeration value="To be deleted"/>
          <xsd:enumeration value="Marked for deletion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ortOrder" ma:index="30" nillable="true" ma:displayName="Sort Order" ma:decimals="0" ma:default="99" ma:format="Dropdown" ma:internalName="SortOrd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559508-C8E2-46BF-BCB8-20B94549C801}">
  <ds:schemaRefs>
    <ds:schemaRef ds:uri="http://schemas.microsoft.com/office/2006/metadata/properties"/>
    <ds:schemaRef ds:uri="http://schemas.microsoft.com/office/infopath/2007/PartnerControls"/>
    <ds:schemaRef ds:uri="ae5dff87-4e6a-41c4-93f2-d5508871ee9a"/>
    <ds:schemaRef ds:uri="bc0e871a-eec0-419d-8b9b-9df52ac2a702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6B2E31C0-1473-454E-A580-31A63F3E5A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c0e871a-eec0-419d-8b9b-9df52ac2a702"/>
    <ds:schemaRef ds:uri="ae5dff87-4e6a-41c4-93f2-d5508871ee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200912-AD45-4A6E-AA44-B95B85CD22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10</vt:i4>
      </vt:variant>
    </vt:vector>
  </HeadingPairs>
  <TitlesOfParts>
    <vt:vector size="21" baseType="lpstr">
      <vt:lpstr>30% DRC</vt:lpstr>
      <vt:lpstr>60% DRC</vt:lpstr>
      <vt:lpstr>98% DRC</vt:lpstr>
      <vt:lpstr>(if needed) 100% DRC</vt:lpstr>
      <vt:lpstr>Final Design DRC</vt:lpstr>
      <vt:lpstr>Final Constructed DRC</vt:lpstr>
      <vt:lpstr>CN &amp; Runoff Volume</vt:lpstr>
      <vt:lpstr>Notes</vt:lpstr>
      <vt:lpstr>Example Design DRC</vt:lpstr>
      <vt:lpstr>Example Final Constructed DRC</vt:lpstr>
      <vt:lpstr>Example CN &amp; Runoff Volume</vt:lpstr>
      <vt:lpstr>'(if needed) 100% DRC'!Print_Area</vt:lpstr>
      <vt:lpstr>'30% DRC'!Print_Area</vt:lpstr>
      <vt:lpstr>'60% DRC'!Print_Area</vt:lpstr>
      <vt:lpstr>'98% DRC'!Print_Area</vt:lpstr>
      <vt:lpstr>'CN &amp; Runoff Volume'!Print_Area</vt:lpstr>
      <vt:lpstr>'Example CN &amp; Runoff Volume'!Print_Area</vt:lpstr>
      <vt:lpstr>'Example Design DRC'!Print_Area</vt:lpstr>
      <vt:lpstr>'Example Final Constructed DRC'!Print_Area</vt:lpstr>
      <vt:lpstr>'Final Constructed DRC'!Print_Area</vt:lpstr>
      <vt:lpstr>'Final Design DRC'!Print_Area</vt:lpstr>
    </vt:vector>
  </TitlesOfParts>
  <Manager/>
  <Company>Hey and Associates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Watson;Jeff W</dc:creator>
  <cp:keywords/>
  <dc:description/>
  <cp:lastModifiedBy>Gelder, Moriah</cp:lastModifiedBy>
  <cp:revision/>
  <dcterms:created xsi:type="dcterms:W3CDTF">2003-11-04T13:36:28Z</dcterms:created>
  <dcterms:modified xsi:type="dcterms:W3CDTF">2025-01-17T16:07:35Z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0x010100E11F9AE39F30E64D88DD370991155A0F</vt:lpwstr>
  </property>
  <property fmtid="{D5CDD505-2E9C-101B-9397-08002B2CF9AE}" pid="3" name="MediaServiceImageTags">
    <vt:lpwstr/>
  </property>
</Properties>
</file>